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defaultThemeVersion="124226"/>
  <workbookProtection workbookPassword="C522" lockStructure="1"/>
  <bookViews>
    <workbookView xWindow="0" yWindow="0" windowWidth="19440" windowHeight="14640"/>
  </bookViews>
  <sheets>
    <sheet name="Resumen" sheetId="1" r:id="rId1"/>
    <sheet name="Campos" sheetId="15" state="hidden" r:id="rId2"/>
  </sheets>
  <definedNames>
    <definedName name="Coau">Campos!$D$40</definedName>
    <definedName name="Der">Campos!$D$37</definedName>
    <definedName name="DerB">Campos!$D$38</definedName>
    <definedName name="FACT">Campos!$E$3</definedName>
    <definedName name="IntrArtic">#REF!</definedName>
    <definedName name="IntrComis">#REF!</definedName>
    <definedName name="IntrCongr">#REF!</definedName>
    <definedName name="IntrLibros">#REF!</definedName>
    <definedName name="IntrOArt">#REF!</definedName>
    <definedName name="IntrOtros">#REF!</definedName>
    <definedName name="IntrPaten">#REF!</definedName>
    <definedName name="IntrSpin">#REF!</definedName>
    <definedName name="MainArtic">Resumen!$A$51</definedName>
    <definedName name="MainComis">Resumen!$A$196</definedName>
    <definedName name="MainCongr">Resumen!$A$84</definedName>
    <definedName name="MainLibros">Resumen!$A$101</definedName>
    <definedName name="MainOArt">Resumen!$A$221</definedName>
    <definedName name="MainOtros">Resumen!$A$237</definedName>
    <definedName name="MainPaten">Resumen!$A$138</definedName>
    <definedName name="MainSpin">Resumen!$A$41</definedName>
    <definedName name="ProyCant">Campos!$G$3:$G$12</definedName>
    <definedName name="ProyCant2">Campos!$G$15:$G$24</definedName>
    <definedName name="ProyPond">Campos!$H$3:$H$12</definedName>
    <definedName name="ProyPond2">Campos!$H$15:$H$24</definedName>
    <definedName name="Spin">Campos!$D$39</definedName>
    <definedName name="TablaAreas">Campos!$C$3:$D$7</definedName>
    <definedName name="TablArtic">Campos!$C$9:$C$12</definedName>
    <definedName name="TopTes">Campos!$D$41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139" i="1" l="1"/>
  <c r="C43" i="1"/>
  <c r="C44" i="1"/>
  <c r="C45" i="1"/>
  <c r="C46" i="1"/>
  <c r="C47" i="1"/>
  <c r="C48" i="1"/>
  <c r="C49" i="1"/>
  <c r="D41" i="1"/>
  <c r="D13" i="1"/>
  <c r="C22" i="1"/>
  <c r="C25" i="1"/>
  <c r="C27" i="1"/>
  <c r="C29" i="1"/>
  <c r="D19" i="1"/>
  <c r="D30" i="1"/>
  <c r="J3" i="15"/>
  <c r="J4" i="15"/>
  <c r="J5" i="15"/>
  <c r="D34" i="1"/>
  <c r="D37" i="1"/>
  <c r="D39" i="1"/>
  <c r="C54" i="1"/>
  <c r="C55" i="1"/>
  <c r="C56" i="1"/>
  <c r="C57" i="1"/>
  <c r="C58" i="1"/>
  <c r="C59" i="1"/>
  <c r="D52" i="1"/>
  <c r="C62" i="1"/>
  <c r="C63" i="1"/>
  <c r="C64" i="1"/>
  <c r="C65" i="1"/>
  <c r="C66" i="1"/>
  <c r="C67" i="1"/>
  <c r="D60" i="1"/>
  <c r="C70" i="1"/>
  <c r="C71" i="1"/>
  <c r="C72" i="1"/>
  <c r="C73" i="1"/>
  <c r="C74" i="1"/>
  <c r="C75" i="1"/>
  <c r="D68" i="1"/>
  <c r="C78" i="1"/>
  <c r="C79" i="1"/>
  <c r="C80" i="1"/>
  <c r="C81" i="1"/>
  <c r="C82" i="1"/>
  <c r="C83" i="1"/>
  <c r="D76" i="1"/>
  <c r="D51" i="1"/>
  <c r="C87" i="1"/>
  <c r="C88" i="1"/>
  <c r="C89" i="1"/>
  <c r="C90" i="1"/>
  <c r="C91" i="1"/>
  <c r="C92" i="1"/>
  <c r="D85" i="1"/>
  <c r="C95" i="1"/>
  <c r="C96" i="1"/>
  <c r="C97" i="1"/>
  <c r="C98" i="1"/>
  <c r="C99" i="1"/>
  <c r="C100" i="1"/>
  <c r="D93" i="1"/>
  <c r="D84" i="1"/>
  <c r="C104" i="1"/>
  <c r="C105" i="1"/>
  <c r="C106" i="1"/>
  <c r="C107" i="1"/>
  <c r="C108" i="1"/>
  <c r="C109" i="1"/>
  <c r="D102" i="1"/>
  <c r="C112" i="1"/>
  <c r="C113" i="1"/>
  <c r="C114" i="1"/>
  <c r="C115" i="1"/>
  <c r="C116" i="1"/>
  <c r="C117" i="1"/>
  <c r="D110" i="1"/>
  <c r="C120" i="1"/>
  <c r="C121" i="1"/>
  <c r="C122" i="1"/>
  <c r="C123" i="1"/>
  <c r="C124" i="1"/>
  <c r="C125" i="1"/>
  <c r="D118" i="1"/>
  <c r="C128" i="1"/>
  <c r="C129" i="1"/>
  <c r="C130" i="1"/>
  <c r="C131" i="1"/>
  <c r="C132" i="1"/>
  <c r="C133" i="1"/>
  <c r="D126" i="1"/>
  <c r="D101" i="1"/>
  <c r="D134" i="1"/>
  <c r="C141" i="1"/>
  <c r="C142" i="1"/>
  <c r="C143" i="1"/>
  <c r="C144" i="1"/>
  <c r="C145" i="1"/>
  <c r="C146" i="1"/>
  <c r="C149" i="1"/>
  <c r="C150" i="1"/>
  <c r="C151" i="1"/>
  <c r="C152" i="1"/>
  <c r="C153" i="1"/>
  <c r="C154" i="1"/>
  <c r="D147" i="1"/>
  <c r="C157" i="1"/>
  <c r="C158" i="1"/>
  <c r="C159" i="1"/>
  <c r="C160" i="1"/>
  <c r="C161" i="1"/>
  <c r="C162" i="1"/>
  <c r="D155" i="1"/>
  <c r="C165" i="1"/>
  <c r="C166" i="1"/>
  <c r="C167" i="1"/>
  <c r="C168" i="1"/>
  <c r="C169" i="1"/>
  <c r="C170" i="1"/>
  <c r="D163" i="1"/>
  <c r="C173" i="1"/>
  <c r="C174" i="1"/>
  <c r="C175" i="1"/>
  <c r="C176" i="1"/>
  <c r="C177" i="1"/>
  <c r="C178" i="1"/>
  <c r="D171" i="1"/>
  <c r="C181" i="1"/>
  <c r="C182" i="1"/>
  <c r="C183" i="1"/>
  <c r="C184" i="1"/>
  <c r="C185" i="1"/>
  <c r="C186" i="1"/>
  <c r="D179" i="1"/>
  <c r="D138" i="1"/>
  <c r="D188" i="1"/>
  <c r="E13" i="1"/>
  <c r="E19" i="1"/>
  <c r="E30" i="1"/>
  <c r="K3" i="15"/>
  <c r="K4" i="15"/>
  <c r="K5" i="15"/>
  <c r="E34" i="1"/>
  <c r="E37" i="1"/>
  <c r="E39" i="1"/>
  <c r="E41" i="1"/>
  <c r="E52" i="1"/>
  <c r="E60" i="1"/>
  <c r="E68" i="1"/>
  <c r="E76" i="1"/>
  <c r="E51" i="1"/>
  <c r="E85" i="1"/>
  <c r="E93" i="1"/>
  <c r="E84" i="1"/>
  <c r="E102" i="1"/>
  <c r="E110" i="1"/>
  <c r="E118" i="1"/>
  <c r="E126" i="1"/>
  <c r="E101" i="1"/>
  <c r="E134" i="1"/>
  <c r="E139" i="1"/>
  <c r="E147" i="1"/>
  <c r="E155" i="1"/>
  <c r="E163" i="1"/>
  <c r="E171" i="1"/>
  <c r="E179" i="1"/>
  <c r="E138" i="1"/>
  <c r="E188" i="1"/>
  <c r="F13" i="1"/>
  <c r="F19" i="1"/>
  <c r="F30" i="1"/>
  <c r="L3" i="15"/>
  <c r="L4" i="15"/>
  <c r="L5" i="15"/>
  <c r="F34" i="1"/>
  <c r="F37" i="1"/>
  <c r="F39" i="1"/>
  <c r="F41" i="1"/>
  <c r="F52" i="1"/>
  <c r="F60" i="1"/>
  <c r="F68" i="1"/>
  <c r="F76" i="1"/>
  <c r="F51" i="1"/>
  <c r="F85" i="1"/>
  <c r="F93" i="1"/>
  <c r="F84" i="1"/>
  <c r="F102" i="1"/>
  <c r="F110" i="1"/>
  <c r="F118" i="1"/>
  <c r="F126" i="1"/>
  <c r="F101" i="1"/>
  <c r="F134" i="1"/>
  <c r="F139" i="1"/>
  <c r="F147" i="1"/>
  <c r="F155" i="1"/>
  <c r="F163" i="1"/>
  <c r="F171" i="1"/>
  <c r="F179" i="1"/>
  <c r="F138" i="1"/>
  <c r="F188" i="1"/>
  <c r="G13" i="1"/>
  <c r="G19" i="1"/>
  <c r="G30" i="1"/>
  <c r="M3" i="15"/>
  <c r="M4" i="15"/>
  <c r="M5" i="15"/>
  <c r="G34" i="1"/>
  <c r="G37" i="1"/>
  <c r="G39" i="1"/>
  <c r="G41" i="1"/>
  <c r="G52" i="1"/>
  <c r="G60" i="1"/>
  <c r="G68" i="1"/>
  <c r="G76" i="1"/>
  <c r="G51" i="1"/>
  <c r="G85" i="1"/>
  <c r="G93" i="1"/>
  <c r="G84" i="1"/>
  <c r="G102" i="1"/>
  <c r="G110" i="1"/>
  <c r="G118" i="1"/>
  <c r="G126" i="1"/>
  <c r="G101" i="1"/>
  <c r="G134" i="1"/>
  <c r="G139" i="1"/>
  <c r="G147" i="1"/>
  <c r="G155" i="1"/>
  <c r="G163" i="1"/>
  <c r="G171" i="1"/>
  <c r="G179" i="1"/>
  <c r="G138" i="1"/>
  <c r="G188" i="1"/>
  <c r="C223" i="1"/>
  <c r="C224" i="1"/>
  <c r="C225" i="1"/>
  <c r="C226" i="1"/>
  <c r="C227" i="1"/>
  <c r="C228" i="1"/>
  <c r="D221" i="1"/>
  <c r="D230" i="1"/>
  <c r="E221" i="1"/>
  <c r="E230" i="1"/>
  <c r="F221" i="1"/>
  <c r="F230" i="1"/>
  <c r="G221" i="1"/>
  <c r="G230" i="1"/>
  <c r="C206" i="1"/>
  <c r="C207" i="1"/>
  <c r="C208" i="1"/>
  <c r="C209" i="1"/>
  <c r="C210" i="1"/>
  <c r="C211" i="1"/>
  <c r="C212" i="1"/>
  <c r="B228" i="1"/>
  <c r="B227" i="1"/>
  <c r="B226" i="1"/>
  <c r="B225" i="1"/>
  <c r="B224" i="1"/>
  <c r="B223" i="1"/>
  <c r="B222" i="1"/>
  <c r="C198" i="1"/>
  <c r="C199" i="1"/>
  <c r="C200" i="1"/>
  <c r="C201" i="1"/>
  <c r="C202" i="1"/>
  <c r="C203" i="1"/>
  <c r="C204" i="1"/>
  <c r="C214" i="1"/>
  <c r="C215" i="1"/>
  <c r="C216" i="1"/>
  <c r="C217" i="1"/>
  <c r="C218" i="1"/>
  <c r="C219" i="1"/>
  <c r="C220" i="1"/>
  <c r="B199" i="1"/>
  <c r="B215" i="1"/>
  <c r="B200" i="1"/>
  <c r="B216" i="1"/>
  <c r="B201" i="1"/>
  <c r="B217" i="1"/>
  <c r="B202" i="1"/>
  <c r="B218" i="1"/>
  <c r="B203" i="1"/>
  <c r="B219" i="1"/>
  <c r="B204" i="1"/>
  <c r="B220" i="1"/>
  <c r="B198" i="1"/>
  <c r="B214" i="1"/>
  <c r="B207" i="1"/>
  <c r="B208" i="1"/>
  <c r="B209" i="1"/>
  <c r="B210" i="1"/>
  <c r="B211" i="1"/>
  <c r="B212" i="1"/>
  <c r="B206" i="1"/>
  <c r="B173" i="1"/>
  <c r="B181" i="1"/>
  <c r="B174" i="1"/>
  <c r="B182" i="1"/>
  <c r="B175" i="1"/>
  <c r="B183" i="1"/>
  <c r="B176" i="1"/>
  <c r="B184" i="1"/>
  <c r="B177" i="1"/>
  <c r="B185" i="1"/>
  <c r="B178" i="1"/>
  <c r="B186" i="1"/>
  <c r="B172" i="1"/>
  <c r="B180" i="1"/>
  <c r="B141" i="1"/>
  <c r="B165" i="1"/>
  <c r="B142" i="1"/>
  <c r="B166" i="1"/>
  <c r="B143" i="1"/>
  <c r="B167" i="1"/>
  <c r="B144" i="1"/>
  <c r="B168" i="1"/>
  <c r="B145" i="1"/>
  <c r="B169" i="1"/>
  <c r="B146" i="1"/>
  <c r="B170" i="1"/>
  <c r="B157" i="1"/>
  <c r="B158" i="1"/>
  <c r="B159" i="1"/>
  <c r="B160" i="1"/>
  <c r="B161" i="1"/>
  <c r="B162" i="1"/>
  <c r="B140" i="1"/>
  <c r="B164" i="1"/>
  <c r="B156" i="1"/>
  <c r="B149" i="1"/>
  <c r="B150" i="1"/>
  <c r="B151" i="1"/>
  <c r="B152" i="1"/>
  <c r="B153" i="1"/>
  <c r="B154" i="1"/>
  <c r="B148" i="1"/>
  <c r="B120" i="1"/>
  <c r="B128" i="1"/>
  <c r="B121" i="1"/>
  <c r="B129" i="1"/>
  <c r="B122" i="1"/>
  <c r="B130" i="1"/>
  <c r="B123" i="1"/>
  <c r="B131" i="1"/>
  <c r="B124" i="1"/>
  <c r="B132" i="1"/>
  <c r="B125" i="1"/>
  <c r="B133" i="1"/>
  <c r="B119" i="1"/>
  <c r="B127" i="1"/>
  <c r="B104" i="1"/>
  <c r="B112" i="1"/>
  <c r="B105" i="1"/>
  <c r="B113" i="1"/>
  <c r="B106" i="1"/>
  <c r="B114" i="1"/>
  <c r="B107" i="1"/>
  <c r="B115" i="1"/>
  <c r="B108" i="1"/>
  <c r="B116" i="1"/>
  <c r="B109" i="1"/>
  <c r="B117" i="1"/>
  <c r="B103" i="1"/>
  <c r="B111" i="1"/>
  <c r="B86" i="1"/>
  <c r="B53" i="1"/>
  <c r="B87" i="1"/>
  <c r="B95" i="1"/>
  <c r="B88" i="1"/>
  <c r="B96" i="1"/>
  <c r="B89" i="1"/>
  <c r="B97" i="1"/>
  <c r="B90" i="1"/>
  <c r="B98" i="1"/>
  <c r="B91" i="1"/>
  <c r="B99" i="1"/>
  <c r="B92" i="1"/>
  <c r="B100" i="1"/>
  <c r="B94" i="1"/>
  <c r="B59" i="1"/>
  <c r="B67" i="1"/>
  <c r="B75" i="1"/>
  <c r="B83" i="1"/>
  <c r="B58" i="1"/>
  <c r="B66" i="1"/>
  <c r="B74" i="1"/>
  <c r="B82" i="1"/>
  <c r="B57" i="1"/>
  <c r="B65" i="1"/>
  <c r="B73" i="1"/>
  <c r="B81" i="1"/>
  <c r="B56" i="1"/>
  <c r="B64" i="1"/>
  <c r="B72" i="1"/>
  <c r="B80" i="1"/>
  <c r="B55" i="1"/>
  <c r="B63" i="1"/>
  <c r="B71" i="1"/>
  <c r="B79" i="1"/>
  <c r="B54" i="1"/>
  <c r="B62" i="1"/>
  <c r="B70" i="1"/>
  <c r="B78" i="1"/>
  <c r="B61" i="1"/>
  <c r="B69" i="1"/>
  <c r="B77" i="1"/>
  <c r="B49" i="1"/>
  <c r="B48" i="1"/>
  <c r="B47" i="1"/>
  <c r="B46" i="1"/>
  <c r="B45" i="1"/>
  <c r="B44" i="1"/>
  <c r="B43" i="1"/>
  <c r="B42" i="1"/>
  <c r="E3" i="15"/>
  <c r="E10" i="1"/>
  <c r="M8" i="1"/>
  <c r="M27" i="1"/>
  <c r="F10" i="1"/>
  <c r="N8" i="1"/>
  <c r="N27" i="1"/>
  <c r="G10" i="1"/>
  <c r="O8" i="1"/>
  <c r="O27" i="1"/>
  <c r="L8" i="1"/>
  <c r="L27" i="1"/>
  <c r="O24" i="1"/>
  <c r="O25" i="1"/>
  <c r="O9" i="1"/>
  <c r="O10" i="1"/>
  <c r="O11" i="1"/>
  <c r="O12" i="1"/>
  <c r="O13" i="1"/>
  <c r="O14" i="1"/>
  <c r="O15" i="1"/>
  <c r="O19" i="1"/>
  <c r="O21" i="1"/>
  <c r="O23" i="1"/>
  <c r="N24" i="1"/>
  <c r="N25" i="1"/>
  <c r="N9" i="1"/>
  <c r="N10" i="1"/>
  <c r="N11" i="1"/>
  <c r="N12" i="1"/>
  <c r="N13" i="1"/>
  <c r="N14" i="1"/>
  <c r="N15" i="1"/>
  <c r="N19" i="1"/>
  <c r="N21" i="1"/>
  <c r="N23" i="1"/>
  <c r="M24" i="1"/>
  <c r="M25" i="1"/>
  <c r="M9" i="1"/>
  <c r="M10" i="1"/>
  <c r="M11" i="1"/>
  <c r="M12" i="1"/>
  <c r="M13" i="1"/>
  <c r="M14" i="1"/>
  <c r="M15" i="1"/>
  <c r="M19" i="1"/>
  <c r="M21" i="1"/>
  <c r="M23" i="1"/>
  <c r="L12" i="1"/>
  <c r="L13" i="1"/>
  <c r="L14" i="1"/>
  <c r="L15" i="1"/>
  <c r="L25" i="1"/>
  <c r="L24" i="1"/>
  <c r="L21" i="1"/>
  <c r="L23" i="1"/>
  <c r="L19" i="1"/>
  <c r="L11" i="1"/>
  <c r="L10" i="1"/>
  <c r="L9" i="1"/>
  <c r="N4" i="15"/>
  <c r="N3" i="15"/>
  <c r="D7" i="15"/>
  <c r="D6" i="15"/>
  <c r="L20" i="1"/>
  <c r="M16" i="1"/>
  <c r="M17" i="1"/>
  <c r="M18" i="1"/>
  <c r="M20" i="1"/>
  <c r="N16" i="1"/>
  <c r="N17" i="1"/>
  <c r="N18" i="1"/>
  <c r="N20" i="1"/>
  <c r="O16" i="1"/>
  <c r="O17" i="1"/>
  <c r="O18" i="1"/>
  <c r="O20" i="1"/>
  <c r="L16" i="1"/>
  <c r="L17" i="1"/>
  <c r="L18" i="1"/>
  <c r="E197" i="1"/>
  <c r="E205" i="1"/>
  <c r="E213" i="1"/>
  <c r="E196" i="1"/>
  <c r="M22" i="1"/>
  <c r="M26" i="1"/>
  <c r="M28" i="1"/>
  <c r="M29" i="1"/>
  <c r="M30" i="1"/>
  <c r="M31" i="1"/>
  <c r="M32" i="1"/>
  <c r="M33" i="1"/>
  <c r="F197" i="1"/>
  <c r="F205" i="1"/>
  <c r="F213" i="1"/>
  <c r="F196" i="1"/>
  <c r="N22" i="1"/>
  <c r="N26" i="1"/>
  <c r="N28" i="1"/>
  <c r="N29" i="1"/>
  <c r="N30" i="1"/>
  <c r="N31" i="1"/>
  <c r="N32" i="1"/>
  <c r="N33" i="1"/>
  <c r="G197" i="1"/>
  <c r="G205" i="1"/>
  <c r="G213" i="1"/>
  <c r="G196" i="1"/>
  <c r="O22" i="1"/>
  <c r="O26" i="1"/>
  <c r="O28" i="1"/>
  <c r="O29" i="1"/>
  <c r="O30" i="1"/>
  <c r="O31" i="1"/>
  <c r="O32" i="1"/>
  <c r="O33" i="1"/>
  <c r="D197" i="1"/>
  <c r="D205" i="1"/>
  <c r="D213" i="1"/>
  <c r="D196" i="1"/>
  <c r="L22" i="1"/>
  <c r="L26" i="1"/>
  <c r="L28" i="1"/>
  <c r="L29" i="1"/>
  <c r="L30" i="1"/>
  <c r="L31" i="1"/>
  <c r="L32" i="1"/>
  <c r="L33" i="1"/>
  <c r="G7" i="1"/>
  <c r="F7" i="1"/>
  <c r="E7" i="1"/>
  <c r="D7" i="1"/>
  <c r="H7" i="1"/>
</calcChain>
</file>

<file path=xl/comments1.xml><?xml version="1.0" encoding="utf-8"?>
<comments xmlns="http://schemas.openxmlformats.org/spreadsheetml/2006/main">
  <authors>
    <author>Autor</author>
  </authors>
  <commentList>
    <comment ref="B12" authorId="0">
      <text>
        <r>
          <rPr>
            <b/>
            <sz val="10"/>
            <color indexed="81"/>
            <rFont val="Calibri"/>
            <family val="2"/>
          </rPr>
          <t>1.1. Evaluaciones Positivas de la Comisión Nacional de Evaluación de la Actividad Investigadora (Sexenios)</t>
        </r>
        <r>
          <rPr>
            <sz val="10"/>
            <color indexed="81"/>
            <rFont val="Calibri"/>
            <family val="2"/>
          </rPr>
          <t xml:space="preserve">
A la puntuación de la AI obtenida de la aplicación de este baremo se le añadirá una bonificación porcentual según el número de sexenios del solicitante, siempre y cuando el último sexenio haya sido obtenido en los últimos 6 años:
• 1 Sexenio ……………………….. 5%
• 2 Sexenios………………………. 10%
• 3 Sexenios………………………. 15%
• 4 Sexenios………………………. 20%
• 5 Sexenios………………………. 25%
• 6 Sexenios………………………. 30%
Para la aplicación de este indicador a Grupos o Agregaciones de Grupos se obtendrá el número entero más próximo al valor medio de tramos de investigación del personal que los integre.</t>
        </r>
      </text>
    </comment>
    <comment ref="B13" authorId="0">
      <text>
        <r>
          <rPr>
            <b/>
            <sz val="10"/>
            <color indexed="81"/>
            <rFont val="Calibri"/>
            <family val="2"/>
          </rPr>
          <t>1.2. Premios Relevantes de Investigación</t>
        </r>
        <r>
          <rPr>
            <sz val="10"/>
            <color indexed="81"/>
            <rFont val="Calibri"/>
            <family val="2"/>
          </rPr>
          <t xml:space="preserve">
La Comisión de Investigación de la UJA podrá proponer a aquellas personas que por sus méritos excepcionales de investigación obtengan premios relevantes y denoten una trayectoria de investigación consolidada, una puntuación con carácter anual que también podrá sumarse al AI.
• Carácter internacional:15 puntos.
• Carácter nacional:10 puntos
• Carácter regional: 5 puntos
</t>
        </r>
      </text>
    </comment>
    <comment ref="B18" authorId="0">
      <text>
        <r>
          <rPr>
            <b/>
            <sz val="10"/>
            <color indexed="81"/>
            <rFont val="Calibri"/>
            <family val="2"/>
          </rPr>
          <t xml:space="preserve">2.1 Acciones de Investigación, Desarrollo Tecnológico e Innovación </t>
        </r>
        <r>
          <rPr>
            <sz val="10"/>
            <color indexed="81"/>
            <rFont val="Calibri"/>
            <family val="2"/>
          </rPr>
          <t xml:space="preserve">
Son aquellas actuaciones realizadas en programas incluidos en los marcos de I+D+i de la UJA, Instituciones locales, Comunidades Autónomas (CCAA), Administración General del Estado (AGE) y Unión Europea (UE). Incluye también actuaciones con fines de investigación bajo otras instancias de programación de las administraciones públicas y de organismos internacionales, siempre que su concesión esté sujeta a un proceso competitivo y con evaluación externa. </t>
        </r>
      </text>
    </comment>
    <comment ref="B19" authorId="0">
      <text>
        <r>
          <rPr>
            <b/>
            <sz val="10"/>
            <color indexed="81"/>
            <rFont val="Calibri"/>
            <family val="2"/>
          </rPr>
          <t>2.1.1 Proyectos de Investigación, Desarrollo Tecnológico e Innovación competitivos</t>
        </r>
        <r>
          <rPr>
            <sz val="10"/>
            <color indexed="81"/>
            <rFont val="Calibri"/>
            <family val="2"/>
          </rPr>
          <t xml:space="preserve">
Actividades cuyo fin principal es la obtención de resultados de I+D+i. El indicador se mide en número de proyectos concedidos. Un mismo proyecto con concesiones de financiación diferentes y complementarias será considerado una única vez. 
Investigador Principal (IP) o en caso de Programa Marco (Work Package Leader)
• Proyecto Local o del Plan Propio de la UJA …………………………………2 puntos.
• Plan Autonómico……………………………………………………………………….5 puntos
• Plan Estatal……………………………………………………………………………….10 puntos
• Programa Marco o Internacional competitivo……………………………16 puntos
Si el IP es además coordinador en un proyecto coordinado Estatal, adicionalmente 1 punto.
Si el IP es coordinador en un  proyecto del Programa Marco de la UE o de un Proyecto Consolider del Plan Nacional, adicionalmente 3 puntos. 
Demás miembros del equipo investigador
• Proyecto Local o del Plan Propio de la UJA …………………………….…1 puntos
• Plan Autonómico……………………………………………………………………..2.5 puntos
• Plan Estatal……………………………………………………………………………...5 puntos
• Programa Marco o Internacional competitivo……………………………8 puntos
</t>
        </r>
      </text>
    </comment>
    <comment ref="B30" authorId="0">
      <text>
        <r>
          <rPr>
            <b/>
            <sz val="10"/>
            <color indexed="81"/>
            <rFont val="Calibri"/>
            <family val="2"/>
          </rPr>
          <t>2.1.2 Otras acciones de I+D+I competitivas</t>
        </r>
        <r>
          <rPr>
            <sz val="10"/>
            <color indexed="81"/>
            <rFont val="Calibri"/>
            <family val="2"/>
          </rPr>
          <t xml:space="preserve"> 
Son otras actividades de I+D+i de finalidad heterogénea como por ejemplo, la dotación de infraestructura, la captación de personal para investigación, la organización de eventos, la difusión científica y técnica, etc. El indicador es el número de acciones. Una misma acción con concesiones de financiación diferente y complementaria será considerada una única vez. 
• Investigador principal equivale a 1 punto.  
• Demás miembros del equipo investigador equivale a 0,5 puntos.</t>
        </r>
      </text>
    </comment>
    <comment ref="B33" authorId="0">
      <text>
        <r>
          <rPr>
            <b/>
            <sz val="10"/>
            <color indexed="81"/>
            <rFont val="Calibri"/>
            <family val="2"/>
          </rPr>
          <t>Autor:</t>
        </r>
        <r>
          <rPr>
            <sz val="10"/>
            <color indexed="81"/>
            <rFont val="Calibri"/>
            <family val="2"/>
          </rPr>
          <t xml:space="preserve">
</t>
        </r>
        <r>
          <rPr>
            <b/>
            <sz val="10"/>
            <color indexed="81"/>
            <rFont val="Calibri"/>
            <family val="2"/>
          </rPr>
          <t xml:space="preserve">2.2 Acciones de I+D+i bajo contrato y captación de recursos financieros </t>
        </r>
        <r>
          <rPr>
            <sz val="10"/>
            <color indexed="81"/>
            <rFont val="Calibri"/>
            <family val="2"/>
          </rPr>
          <t xml:space="preserve">
Hace referencia a los proyectos de I+D+i realizados al amparo del art. 83 de la LOU y a la obtención de recursos económicos para actividades de I+D+i. No se incluyen actividades tales como la Formación, Cooperación Académica, la Cooperación Educativa, u otras acciones que no sean específicamente de investigación, desarrollo tecnológico e innovación.</t>
        </r>
      </text>
    </comment>
    <comment ref="B34" authorId="0">
      <text>
        <r>
          <rPr>
            <b/>
            <sz val="10"/>
            <color indexed="81"/>
            <rFont val="Calibri"/>
            <family val="2"/>
          </rPr>
          <t>Autor:</t>
        </r>
        <r>
          <rPr>
            <sz val="10"/>
            <color indexed="81"/>
            <rFont val="Calibri"/>
            <family val="2"/>
          </rPr>
          <t xml:space="preserve">
</t>
        </r>
        <r>
          <rPr>
            <b/>
            <sz val="10"/>
            <color indexed="81"/>
            <rFont val="Calibri"/>
            <family val="2"/>
          </rPr>
          <t xml:space="preserve">2.2.1 Acciones de I+D+i bajo Contrato al amparo del art. 83 de la L.O.U. y acciones de I+D+i Colaborativas </t>
        </r>
        <r>
          <rPr>
            <sz val="10"/>
            <color indexed="81"/>
            <rFont val="Calibri"/>
            <family val="2"/>
          </rPr>
          <t xml:space="preserve">
Se incluyen aquellas actividades contratadas que tengan carácter de proyecto de I+D+i basado en el conocimiento. Se mide en número de contratos e importe contratado para cada año. 
Se establece una graduación en la puntuación otorgada en función del importe del contrato.
</t>
        </r>
        <r>
          <rPr>
            <b/>
            <sz val="10"/>
            <color indexed="81"/>
            <rFont val="Calibri"/>
            <family val="2"/>
          </rPr>
          <t>Investigador Principal (IP):</t>
        </r>
        <r>
          <rPr>
            <sz val="10"/>
            <color indexed="81"/>
            <rFont val="Calibri"/>
            <family val="2"/>
          </rPr>
          <t xml:space="preserve">
• Desde 3.000 euros hasta 7.500 euros. 1.5 puntos; 
• Desde 7.501 euros hasta 15.000 euros: 3 puntos; 
• Desde 15.001 hasta 30.000 euros. 4 puntos; 
• Desde 30.001 hasta 50.000 euros. 6 puntos; 
• Desde 50.001 hasta 75.000 euros: 10 puntos; 
• Desde 75.001 a 100.000 euros: 12 puntos; 
• Desde 100.001 a 150.000 euros: 16 puntos, 
• Más de 150.000 euros: 20 puntos. 
</t>
        </r>
        <r>
          <rPr>
            <b/>
            <sz val="10"/>
            <color indexed="81"/>
            <rFont val="Calibri"/>
            <family val="2"/>
          </rPr>
          <t>Demás miembros del equipo investigador:</t>
        </r>
        <r>
          <rPr>
            <sz val="10"/>
            <color indexed="81"/>
            <rFont val="Calibri"/>
            <family val="2"/>
          </rPr>
          <t xml:space="preserve">
• Desde 3.000 euros hasta 7.500 euros. 0.75 punto; 
• Desde 7.501 euros hasta 15.000 euros: 1.5 puntos; 
• Desde 15.001 hasta 30.000 euros. 2 puntos; 
• Desde 30.001 hasta 50.000 euros. 3 puntos; 
• Desde 50.001 hasta 75.000 euros: 5 puntos; 
• Desde 75.001 a 100.000 euros: 6 puntos; 
• Desde 100.001 a 150.000 euros: 8 puntos, 
• Más de 150.000 euros: 10 puntos. 
</t>
        </r>
      </text>
    </comment>
    <comment ref="B37" authorId="0">
      <text>
        <r>
          <rPr>
            <b/>
            <sz val="10"/>
            <color indexed="81"/>
            <rFont val="Calibri"/>
            <family val="2"/>
          </rPr>
          <t xml:space="preserve">2.2.2 Ingresos por licencias de Derechos de Propiedad Industrial e Intelectual </t>
        </r>
        <r>
          <rPr>
            <sz val="10"/>
            <color indexed="81"/>
            <rFont val="Calibri"/>
            <family val="2"/>
          </rPr>
          <t xml:space="preserve">
Comprende los retornos generados por ventas o licencias de uso, explotación, comercialización, etc. de patentes, software u otro objeto de la propiedad industrial e intelectual. Se mide en derechos reconocidos de ese año por la UJA. 
• Se otorgará 1 punto por cada 1.000€ de derechos reconocidos en la anualidad correspondiente por la UJA</t>
        </r>
      </text>
    </comment>
    <comment ref="B39" authorId="0">
      <text>
        <r>
          <rPr>
            <b/>
            <sz val="10"/>
            <color indexed="81"/>
            <rFont val="Calibri"/>
            <family val="2"/>
          </rPr>
          <t>2.2.3 Otras acciones de Apoyo Técnico bajo contrato al amparo del artículo 83 de la LOU</t>
        </r>
        <r>
          <rPr>
            <sz val="10"/>
            <color indexed="81"/>
            <rFont val="Calibri"/>
            <family val="2"/>
          </rPr>
          <t xml:space="preserve">
Comprende las acciones de consultoría, asesoramiento, estudios técnicos, comisariados artísticos, etc., que requieren aplicación de conocimiento. Se mide en Derechos Reconocidos de ese año por la UJA. 
• Se otorgarán 0,5 puntos por cada 6.000€ de derechos reconocidos en la anualidad correspondiente por la UJA hasta un máximo de 4 puntos.
</t>
        </r>
      </text>
    </comment>
    <comment ref="B41" authorId="0">
      <text>
        <r>
          <rPr>
            <b/>
            <sz val="10"/>
            <color indexed="81"/>
            <rFont val="Calibri"/>
            <family val="2"/>
          </rPr>
          <t xml:space="preserve">2.2.4 Creación y participación en Spin-Off UJA </t>
        </r>
        <r>
          <rPr>
            <sz val="10"/>
            <color indexed="81"/>
            <rFont val="Calibri"/>
            <family val="2"/>
          </rPr>
          <t xml:space="preserve">
Se reconoce como aportación en innovación, la creación y participación por el personal en investigación en las Spin-off UJA®.  Estas empresas deberán cumplir los requisitos contenidos en la LOU, para ser reconocidas como empresas basadas en el conocimiento (EBC) en el ámbito universitario. Se mide en empresas creadas y reconocidas como Spin-off UJA® por la UJA en ese año, según la normativa de la UJA sobre EBC. 
La puntuación de cada aportación estará afectada por un coeficiente reductor (cr) que vale:
o Hasta 3 promotores del personal en investigación de la UJA=1;
o Entre 4 y 9 promotores=3 ÷ Nº promotores.
o 10 o más promotores=3 ÷ 10.
* 1 Spin-off UJA®………………… 14*cr Puntos
</t>
        </r>
      </text>
    </comment>
    <comment ref="B51" authorId="0">
      <text>
        <r>
          <rPr>
            <b/>
            <sz val="10"/>
            <color indexed="81"/>
            <rFont val="Calibri"/>
            <family val="2"/>
          </rPr>
          <t xml:space="preserve">3.1. Publicación de resultados en revistas de investigación
</t>
        </r>
        <r>
          <rPr>
            <sz val="10"/>
            <color indexed="81"/>
            <rFont val="Calibri"/>
            <family val="2"/>
          </rPr>
          <t>Para la catalogación de las revistas se utilizarán los criterios utilizados por la CNEAI y la ANECA. 
Por consiguiente, la decisión sobre la calificación de las revistas se basará fundamentalmente en el Impact Factor de cualquiera de las categorías del Journal Citation Reports (Thomson Reuters), del Scimago Journal Rank (SJR Elsevier) en las áreas de Arts&amp;Humanities y que están al mismo tiempo o bien en el Arts &amp; Humanities Citation Index o en el European Reference Index for the Humanities (European Science Foundation). 
Así mismo, para ámbitos del conocimiento que así lo requieran, podrá utilizarse otras clasificaciones como por ejemplo la Clasificación Integrada de Revistas Científicas (CIRC) http://www.ec3metrics.com/circ/, o las revistas indexadas en DICE (Difusión de las revistas españolas de Ciencias Sociales y Humanas) (Grupo EPUB) http://dice.cindoc.csic.es/ y que cumplen con el requisito de contar con evaluación por expertos, además estar presentes en el Catálogo Latindex. También se podrá tener en cuenta los datos que pueden encontrarse en: www.dialnet.es.
En todos los casos el tipo de clasificación utilizada deberá ser la reconocida para el área de conocimiento correspondiente por los organismos nacionales de evaluación, CNEAI y ANECA.</t>
        </r>
        <r>
          <rPr>
            <b/>
            <sz val="10"/>
            <color indexed="81"/>
            <rFont val="Calibri"/>
            <family val="2"/>
          </rPr>
          <t xml:space="preserve">
3.1.1 Artículos en revistas indexadas nivel 1
</t>
        </r>
        <r>
          <rPr>
            <sz val="10"/>
            <color indexed="81"/>
            <rFont val="Calibri"/>
            <family val="2"/>
          </rPr>
          <t xml:space="preserve">Se entiende por tal, aquella revista que está en el tercio superior del ranking de impacto dentro de una categoría determinada obtenido en los listados por ámbitos científicos mencionados con anterioridad. Se mide en número de artículos publicados ese año. </t>
        </r>
        <r>
          <rPr>
            <b/>
            <sz val="10"/>
            <color indexed="81"/>
            <rFont val="Calibri"/>
            <family val="2"/>
          </rPr>
          <t xml:space="preserve">
3.1.2 Artículos en revistas indexadas nivel 2 
</t>
        </r>
        <r>
          <rPr>
            <sz val="10"/>
            <color indexed="81"/>
            <rFont val="Calibri"/>
            <family val="2"/>
          </rPr>
          <t xml:space="preserve">Se entiende por tal, aquella revista que está entre el 33 y el 66 % del ranking de impacto dentro de una categoría determinada obtenido en los listados por ámbitos científicos mencionados con anterioridad. Se mide en número de artículos publicados ese año. 
</t>
        </r>
        <r>
          <rPr>
            <b/>
            <sz val="10"/>
            <color indexed="81"/>
            <rFont val="Calibri"/>
            <family val="2"/>
          </rPr>
          <t xml:space="preserve">3.1.3 Artículos en revistas indexadas nivel 3
</t>
        </r>
        <r>
          <rPr>
            <sz val="10"/>
            <color indexed="81"/>
            <rFont val="Calibri"/>
            <family val="2"/>
          </rPr>
          <t xml:space="preserve">Se entiende por tal, aquella revista que está en el tercio inferior del ranking de impacto dentro de una categoría determinada obtenido en los listados por ámbitos científicos mencionados con anterioridad. Se mide en número de artículos publicados ese año. </t>
        </r>
        <r>
          <rPr>
            <b/>
            <sz val="10"/>
            <color indexed="81"/>
            <rFont val="Calibri"/>
            <family val="2"/>
          </rPr>
          <t xml:space="preserve">
3.1.4 Artículos en revistas NO indexadas 
</t>
        </r>
        <r>
          <rPr>
            <sz val="10"/>
            <color indexed="81"/>
            <rFont val="Calibri"/>
            <family val="2"/>
          </rPr>
          <t xml:space="preserve">Se entiende por tal, aquella revista que no se encuentra indexada en listados internacionales pero que cuenta con revisión por pares. Se mide en número de artículos publicados ese año. </t>
        </r>
        <r>
          <rPr>
            <b/>
            <sz val="10"/>
            <color indexed="81"/>
            <rFont val="Calibri"/>
            <family val="2"/>
          </rPr>
          <t xml:space="preserve">
La puntuación de cada aportación estará afectada por un coeficiente reductor (cr) en función del número de coautores con un valor de:
</t>
        </r>
        <r>
          <rPr>
            <sz val="10"/>
            <color indexed="81"/>
            <rFont val="Calibri"/>
            <family val="2"/>
          </rPr>
          <t xml:space="preserve">o Hasta 4 coautores=1
o Entre 5 y 9 coautores=4÷Nº coautores
o 10 o más coautores=4÷10
• 1 artículo en Revista Indexada nivel 1 ……..  10*cr puntos 
• 1 artículo en Revista Indexada nivel 2 ……..  5*cr puntos 
• 1 artículo en Revista Indexada nivel 3 ……….2*cr puntos 
• 1 artículo en RevistaNo Indexada .......……….1*cr puntos 
• Adicionalmente, si se es </t>
        </r>
        <r>
          <rPr>
            <b/>
            <sz val="10"/>
            <color indexed="81"/>
            <rFont val="Calibri"/>
            <family val="2"/>
          </rPr>
          <t>miembro del comité edito</t>
        </r>
        <r>
          <rPr>
            <sz val="10"/>
            <color indexed="81"/>
            <rFont val="Calibri"/>
            <family val="2"/>
          </rPr>
          <t xml:space="preserve">r de una revista, se otorgará la puntuación equivalente a publicar en ella un artículo. 
</t>
        </r>
        <r>
          <rPr>
            <b/>
            <i/>
            <sz val="10"/>
            <color rgb="FFFF0000"/>
            <rFont val="Calibri"/>
            <family val="2"/>
          </rPr>
          <t>Sólo se tendrán en cuenta los artículos formalmente publicados, entendiéndose por tales los que cuentan con asignación de fecha, volumen y páginas, no considerándose a estos efectos las publicaciones disponibles on-line.</t>
        </r>
      </text>
    </comment>
    <comment ref="B84" authorId="0">
      <text>
        <r>
          <rPr>
            <b/>
            <sz val="10"/>
            <color indexed="81"/>
            <rFont val="Calibri"/>
            <family val="2"/>
          </rPr>
          <t>3.2 Contribuciones a Congresos de Investigación</t>
        </r>
        <r>
          <rPr>
            <sz val="10"/>
            <color indexed="81"/>
            <rFont val="Calibri"/>
            <family val="2"/>
          </rPr>
          <t xml:space="preserve">
Se reconocen como tales aquellas aportaciones a Congresos de Investigación con actas de las ponencias o comunicaciones publicadas en formato libro de investigación (ISBN) o revista (publicación seriada con ISSN), que se hayan presentado en sesiones programadas. Se clasificarán en función de la calidad científica reconocida del Congreso, de la Editorial y de su ámbito de difusión. Se mide en número de aportaciones publicadas ese año. En el caso de que del Congreso se derive una publicación que cumpla las características, bien de artículo indexado, bien de capítulo de libro, estas se incluirán en los apartados correspondientes del baremo para este tipo de aportaciones.
La puntuación de cada aportación estará afectada según el número de coautores por un coeficiente reductor (cr) con un valor de: 
o Hasta 4 coautores=1
o Entre 5 y 9 coautores=4÷Nº coautores
o 10 o más coautores=4÷10
• 1 Contribución en Congreso Internacional: 1*cr puntos 
• 1 Contribución en Congreso Nacional:  0,5*cr puntos 
• Adicionalmente, si se es miembro del Comité Científico del Congreso, se otorgará la puntuación equivalente a una aportación en él.
</t>
        </r>
        <r>
          <rPr>
            <b/>
            <i/>
            <sz val="10"/>
            <color rgb="FFFF0000"/>
            <rFont val="Calibri"/>
            <family val="2"/>
          </rPr>
          <t>Se limita el número de puntos obtenidos por año en este indicador del baremo a 4 puntos por año.</t>
        </r>
      </text>
    </comment>
    <comment ref="B101" authorId="0">
      <text>
        <r>
          <rPr>
            <b/>
            <sz val="10"/>
            <color indexed="81"/>
            <rFont val="Calibri"/>
            <family val="2"/>
          </rPr>
          <t xml:space="preserve">3.3 Publicación de resultados en libros de investigación </t>
        </r>
        <r>
          <rPr>
            <sz val="10"/>
            <color indexed="81"/>
            <rFont val="Calibri"/>
            <family val="2"/>
          </rPr>
          <t xml:space="preserve">
En aquellos campos en los que la CNEAI reconoce como aportación en I+D+i los libros y capítulos de libros, se tendrán en cuenta las publicaciones de investigación en formato libro de investigación de uno o varios autores, editados por una editorial de prestigio. 
En caso de que así se requiera, el autor o autores aportarán a la Comisión de Investigación, junto con la solicitud de evaluación, una copia de parte de la obra donde aparezcan las credenciales correspondientes y la información que justifique la consideración como aportación científica por la CNEAI, junto con los indicios de calidad para poder evaluar la calidad e impacto de ésta.  
La Comisión de Investigación, verificará la calidad de la publicación que se caracterizará  por ser el fruto de investigación propia o en colaboración y por: 
   i. Difusión universal: la publicación está presente en catálogos de bibliotecas, bases de datos en Internet, editoriales con una amplia difusión, etc. 
   ii. Revisión por pares que garantice su originalidad, corrección y oportunidad. La editorial y las colecciones en la que se edita así como las personas y los criterios de la editorial para seleccionar y revisar los originales.
   iii. Indicios de calidad. Que podrán ser: 
     a) sobre la publicación misma: idioma, resumen o palabras clave en otros idiomas, prestigio de la persona que realiza el prólogo o la introducción, 
     b) sobre el impacto que ha tenido: citas y/o recensiones en publicaciones de calidad, etc. 
</t>
        </r>
        <r>
          <rPr>
            <b/>
            <sz val="10"/>
            <color indexed="81"/>
            <rFont val="Calibri"/>
            <family val="2"/>
          </rPr>
          <t xml:space="preserve">3.3.1 Libro de investigación </t>
        </r>
        <r>
          <rPr>
            <sz val="10"/>
            <color indexed="81"/>
            <rFont val="Calibri"/>
            <family val="2"/>
          </rPr>
          <t xml:space="preserve">
La Comisión de Investigación aprobará qué publicaciones se incluirán como tales, a solicitud del autor o autores. Se mide en número de libros de investigación publicados ese año. 
La puntuación de cada aportación estará afectada por un coeficiente reductor (cr) en función del número de coautores que se valorará:
o Hasta 4 coautores=1
o Entre 5 y 9 coautores=4÷Nº coautores
o 10 o más coautores=4÷10
• 1 libro de investigación de especial relevancia, de calidad  comparable a las publicaciones en revistas indexadas de alto impacto, reconocido como publicación de primer nivel por la CNEAI, en editorial de reconocido prestigio………..….12*cr puntos 
• 1 libro de investigación en otras editoriales ………..............………………..  5*cr puntos  
</t>
        </r>
        <r>
          <rPr>
            <b/>
            <sz val="10"/>
            <color indexed="81"/>
            <rFont val="Calibri"/>
            <family val="2"/>
          </rPr>
          <t>3.3.2 Capítulos de libros de investigación</t>
        </r>
        <r>
          <rPr>
            <sz val="10"/>
            <color indexed="81"/>
            <rFont val="Calibri"/>
            <family val="2"/>
          </rPr>
          <t xml:space="preserve">
La Comisión de I+D+I aprobará qué publicaciones se incluirán como tales, a solicitud del autor o autores. Se mide en número de capítulos de libro de investigación publicados ese año.
La puntuación de cada aportación según número de coautores estará afectada por un coeficiente reductor que será:
o Hasta 4 coautores=1
o Entre 5 y 9 coautores=4÷Nº coautores
o 10 o más coautores=4÷10
• 1 capítulo de libro de investigación en editorial de especial relevancia, de calidad comparable a las publicaciones en  revistas indexadas de alto impacto, reconocido como publicación  de primer nivel por la CNEAI, en editorial de prestigio…………………8*cr puntos
• 1 capítulo de libro de investigación en otras editoriales ……....................................................…..3*cr puntos 
Al</t>
        </r>
        <r>
          <rPr>
            <b/>
            <sz val="10"/>
            <color indexed="81"/>
            <rFont val="Calibri"/>
            <family val="2"/>
          </rPr>
          <t xml:space="preserve"> editor o coordinador</t>
        </r>
        <r>
          <rPr>
            <sz val="10"/>
            <color indexed="81"/>
            <rFont val="Calibri"/>
            <family val="2"/>
          </rPr>
          <t xml:space="preserve"> de un libro de investigación en formato de capítulos de libro se le otorgará la misma puntuación que al de un capítulo de libro de investigación, afectada por el coeficiente reductor considerando los editores. </t>
        </r>
      </text>
    </comment>
    <comment ref="B134" authorId="0">
      <text>
        <r>
          <rPr>
            <b/>
            <sz val="10"/>
            <color indexed="81"/>
            <rFont val="Calibri"/>
            <family val="2"/>
          </rPr>
          <t>3.4. Dirección de Tesis Doctorales</t>
        </r>
        <r>
          <rPr>
            <sz val="10"/>
            <color indexed="81"/>
            <rFont val="Calibri"/>
            <family val="2"/>
          </rPr>
          <t xml:space="preserve">
Se contabilizan las Tesis doctorales leídas durante el año que se evalúa. Los directores o codirectores de tesis contabilizarán como máximo una media de dos tesis doctorales por año durante los cuatro últimos años. Se mide en número de tesis de ese año. 
• Director o Codirector de tesis con mención Internacional..6 puntos
• Director o Codirector de tesis……………………………………….. 3 puntos
</t>
        </r>
      </text>
    </comment>
    <comment ref="B138" authorId="0">
      <text>
        <r>
          <rPr>
            <b/>
            <sz val="10"/>
            <color indexed="81"/>
            <rFont val="Calibri"/>
            <family val="2"/>
          </rPr>
          <t xml:space="preserve">4.1 Concesión de Patentes extendidas internacionalmente </t>
        </r>
        <r>
          <rPr>
            <sz val="10"/>
            <color indexed="81"/>
            <rFont val="Calibri"/>
            <family val="2"/>
          </rPr>
          <t xml:space="preserve">
Se reconocerá la aportación científica del inventor por la concesión de Patentes en explotación, en Oficina de Patente Europea o en Oficina de Patentes de EEUU o Japón. Se mide en número de patentes de ese año. 
La puntuación de cada aportación estará afectada según el número de inventores  por un coeficiente reductor (cr) que será: 
   o Hasta 4 inventores=1
   o Entre 5 y 9 inventores=4÷Nº inventores
   o 10 o más inventores=4÷10
• Si la titularidad corresponde total o parcialmente a la UJA……. 16*cr puntos 
• Si la titularidad no corresponde a la UJA ………………………………6*cr puntos
</t>
        </r>
        <r>
          <rPr>
            <b/>
            <sz val="10"/>
            <color indexed="81"/>
            <rFont val="Calibri"/>
            <family val="2"/>
          </rPr>
          <t>4.2 Concesión de Patentes nacionales</t>
        </r>
        <r>
          <rPr>
            <sz val="10"/>
            <color indexed="81"/>
            <rFont val="Calibri"/>
            <family val="2"/>
          </rPr>
          <t xml:space="preserve">
Se reconocerá la aportación científica del inventor por la concesión de patente nacional en explotación. Se mide en número de patentes de ese año. 
La puntuación de cada aportación según el número de inventores estará afectada por un coeficiente reductor (cr) que vale: 
   o Hasta 4 inventores=1
   o Entre 5 y 9 inventores=4÷Nº inventores
   o 10 o más inventores=4÷10
• La titularidad corresponde total o parcialmente a la UJA…..8*cr puntos
• Si la titularidad no corresponde a la UJA ………………………….3*cr puntos
</t>
        </r>
        <r>
          <rPr>
            <b/>
            <sz val="10"/>
            <color indexed="81"/>
            <rFont val="Calibri"/>
            <family val="2"/>
          </rPr>
          <t>4.3 Productos con registro de propiedad intelectual</t>
        </r>
        <r>
          <rPr>
            <sz val="10"/>
            <color indexed="81"/>
            <rFont val="Calibri"/>
            <family val="2"/>
          </rPr>
          <t xml:space="preserve">
Se reconocerá la aportación científica del inventor por la concesión de productos de la propiedad intelectual, siempre que los mismos se encuentre en explotación o estén bajo contrato de cesión o de licencia. Se mide en número por año. 
La puntuación de cada aportación según el número de inventores estará afectada por un coeficiente reductor (cr) que vale: 
   o Hasta 4 inventores=1
   o Entre 5 y 9 inventores=4÷Nº inventores
   o 10 o más inventores=4÷10
• Si la titularidad corresponde total o parcialmente a la UJA………5*cr puntos
• Si la titularidad no corresponde a la UJA ……………………………….. 2*cr puntos</t>
        </r>
      </text>
    </comment>
    <comment ref="B187" authorId="0">
      <text>
        <r>
          <rPr>
            <b/>
            <sz val="9"/>
            <color indexed="81"/>
            <rFont val="Calibri"/>
            <family val="2"/>
          </rPr>
          <t>5. RESULTADOS DE LA CREACIÓN ARTÍSTICA</t>
        </r>
        <r>
          <rPr>
            <sz val="9"/>
            <color indexed="81"/>
            <rFont val="Calibri"/>
            <family val="2"/>
          </rPr>
          <t xml:space="preserve">
Dada la singularidad de estos méritos y en caso de que la Comisión de Investigación así lo estime se deberá aportar toda la documentación requerida para la correcta validación de la valoración de este apartado.
</t>
        </r>
      </text>
    </comment>
    <comment ref="B188" authorId="0">
      <text>
        <r>
          <rPr>
            <b/>
            <sz val="10"/>
            <color indexed="81"/>
            <rFont val="Calibri"/>
            <family val="2"/>
          </rPr>
          <t>5.1 Creación Artística vinculada a espacios expositivos</t>
        </r>
        <r>
          <rPr>
            <sz val="10"/>
            <color indexed="81"/>
            <rFont val="Calibri"/>
            <family val="2"/>
          </rPr>
          <t xml:space="preserve">
Se incluyen en este apartado las exposiciones de obra artística individuales y colectivas realizadas en espacios de ámbito internacional, nacional o en otro tipo de espacios. Se mide en número de exposiciones por año. Así mismo, se considera dentro de este apartado los Comisariados de una exposición nacional o internacional. Se mide en número de comisariados de ese año. 
• Exposición de la obra individual en espacio expositivo internacional …..10 puntos 
• Exposición de la obra colectiva en espacio expositivo internacional ….......3 puntos
• Exposición de la obra individual en espacio expositivo nacional ……………5 puntos
• Exposición de la obra colectiva en espacio expositivo nacional ………………2 puntos
• Exposición de la obra individual en otros tipos de espacios expositivos ….1 puntos
• Exposición de la obra colectiva en otros tipos de espacios expositivos ….0.5 puntos 
• Por el comisariado de una exposición se otorgarán los puntos del tipo de espacio expositivo considerado individual según  un coeficiente reductor (cr) que vale: 
   o Hasta 4 comisarios=1
   o Entre 5 y 9 comisarios=4÷Nº comisarios
   o 10 o más comisarios=4÷10
• Adicionalmente, si se produce itinerancia de la exposición, 0,1 puntos por cada evento. 
</t>
        </r>
      </text>
    </comment>
    <comment ref="B221" authorId="0">
      <text>
        <r>
          <rPr>
            <sz val="11"/>
            <color theme="1"/>
            <rFont val="Calibri"/>
            <family val="2"/>
            <scheme val="minor"/>
          </rPr>
          <t>Autor:</t>
        </r>
        <r>
          <rPr>
            <sz val="10"/>
            <color indexed="81"/>
            <rFont val="Calibri"/>
            <family val="2"/>
          </rPr>
          <t xml:space="preserve">
</t>
        </r>
        <r>
          <rPr>
            <b/>
            <sz val="10"/>
            <color indexed="81"/>
            <rFont val="Calibri"/>
            <family val="2"/>
          </rPr>
          <t>5.2 Otros tipos de Creación Artística</t>
        </r>
        <r>
          <rPr>
            <sz val="10"/>
            <color indexed="81"/>
            <rFont val="Calibri"/>
            <family val="2"/>
          </rPr>
          <t xml:space="preserve"> 
Se incluyen en este apartado otros tipos de creaciones artísticas como por ejemplo la obra literaria, música, teatral, etc. La comisión de Investigación valorará la aportación correspondiente a cada caso, con un máximo de 10 puntos, según la relevancia y repercusión de la obra presentada.
La puntuación de cada aportación según el número de autores estará afectada por un coeficiente reductor (cr) que vale: 
o hasta 4 autores=1  
o para 5 o más autores=4 ÷ Nº autores.
</t>
        </r>
      </text>
    </comment>
    <comment ref="B230" authorId="0">
      <text>
        <r>
          <rPr>
            <b/>
            <sz val="10"/>
            <color indexed="81"/>
            <rFont val="Calibri"/>
            <family val="2"/>
          </rPr>
          <t xml:space="preserve">6.1 Actividades de servicio general a la investigación. </t>
        </r>
        <r>
          <rPr>
            <sz val="10"/>
            <color indexed="81"/>
            <rFont val="Calibri"/>
            <family val="2"/>
          </rPr>
          <t xml:space="preserve">
En este apartado se consideran actividades de reconocido prestigio desarrolladas fuera de la UJA y con nombramiento oficial vigente.
• Representante Nacional o Gestor de Programa Marco de la U.E: 8 Puntos
• Coordinador de área de la CICYT, Coordinador de la ANEP: 6 Puntos 
• Participación en Comités Científico-Técnicos Internacionales: 3 Puntos 
• Participación en Comités Científico-Técnicos Nacionales de evaluación (CNEAI o ANECA): 1,5 Puntos
• Otras actividades de gestión de I+D+I internacional, nacional, autonómico o universitario (a juicio de la Comisión de Investigación: hasta un máximo de 3 puntos
• Responsable de Grupo de Investigación PAIDI de la UJA: 4 puntos
• Otras actividades de gestión de I+D+I internacional, nacional, autonómico o universitario (a juicio de la Comisión de Investigación)…………..hasta 3 puntos
</t>
        </r>
      </text>
    </comment>
    <comment ref="B237" authorId="0">
      <text>
        <r>
          <rPr>
            <b/>
            <sz val="10"/>
            <color indexed="81"/>
            <rFont val="Calibri"/>
            <family val="2"/>
          </rPr>
          <t>6.2 Otros méritos de investigación, desarrollo e innovación</t>
        </r>
        <r>
          <rPr>
            <sz val="10"/>
            <color indexed="81"/>
            <rFont val="Calibri"/>
            <family val="2"/>
          </rPr>
          <t xml:space="preserve">
Con carácter excepcional, el personal en investigación al que se le aplique este baremo podrán proponer a la Comisión de I+D+i la evaluación de cuantos resultados propios consideren como de investigación, desarrollo e innovación. El personal en investigación implicado deberá aportar a la Comisión de I+D+i la documentación necesaria para acreditar el carácter de excepcionalidad como resultado científico de esa aportación.  
La Comisión de I+D+i evaluará el carácter de investigación, desarrollo e innovación que tenga la aportación y otorgará una puntuación que será inferior a 10 puntos, acorde a la relevancia y repercusión que esta tenga. 
La aportación estará afectada por un coeficiente reductor que vale 1 ÷ Nº participantes/coautores. 
</t>
        </r>
      </text>
    </comment>
  </commentList>
</comments>
</file>

<file path=xl/sharedStrings.xml><?xml version="1.0" encoding="utf-8"?>
<sst xmlns="http://schemas.openxmlformats.org/spreadsheetml/2006/main" count="211" uniqueCount="165">
  <si>
    <t>2.1</t>
  </si>
  <si>
    <t xml:space="preserve">Acciones de Investigación, Desarrollo Tecnológico e Innovación </t>
  </si>
  <si>
    <t>ACCIONES DE I+D+i  Y CAPTACIÓN DE RECURSOS FINANCIEROS</t>
  </si>
  <si>
    <t>2.1.1.</t>
  </si>
  <si>
    <t>Proyectos de Investigación, Desarrollo Tecnológico e Innovación competitivos</t>
  </si>
  <si>
    <t>a</t>
  </si>
  <si>
    <t>b</t>
  </si>
  <si>
    <t>c</t>
  </si>
  <si>
    <t>d</t>
  </si>
  <si>
    <t>2.1.2.</t>
  </si>
  <si>
    <t xml:space="preserve">Otras acciones de I+D+I competitivas </t>
  </si>
  <si>
    <t>2.2.</t>
  </si>
  <si>
    <t>Acciones de I+D+i bajo contrato y captación de recursos financieros</t>
  </si>
  <si>
    <t>2.2.1.</t>
  </si>
  <si>
    <t xml:space="preserve">Acciones de I+D+i bajo contrato al amparo del art. 83 de la LOU y acciones de I+D+i Colaborativas </t>
  </si>
  <si>
    <t>Campos</t>
  </si>
  <si>
    <t>A</t>
  </si>
  <si>
    <t>B</t>
  </si>
  <si>
    <t>C</t>
  </si>
  <si>
    <t>D</t>
  </si>
  <si>
    <t>E</t>
  </si>
  <si>
    <t>Humanidades</t>
  </si>
  <si>
    <t>Sociales y Jurídicas</t>
  </si>
  <si>
    <t>RESULTADOS DE INVESTIGACIÓN CONSOLIDADOS Y PREMIOS RELEVANTES</t>
  </si>
  <si>
    <t>1.1.</t>
  </si>
  <si>
    <t>Evaluaciones Positivas Sexenios (Último en período vigente)</t>
  </si>
  <si>
    <t>Premios Relevantes de Investigación</t>
  </si>
  <si>
    <t>1.2.</t>
  </si>
  <si>
    <t>ÚNICO</t>
  </si>
  <si>
    <t>FACT</t>
  </si>
  <si>
    <t xml:space="preserve">   Internacional</t>
  </si>
  <si>
    <t xml:space="preserve">   Nacional</t>
  </si>
  <si>
    <t xml:space="preserve">   Regional</t>
  </si>
  <si>
    <t xml:space="preserve">   Acciones con implicación como Investigador o Personal Apoyo</t>
  </si>
  <si>
    <t xml:space="preserve">   Como Investigador o Personal de Apoyo</t>
  </si>
  <si>
    <t>Salud</t>
  </si>
  <si>
    <t>Ciencias Experimentales</t>
  </si>
  <si>
    <t>Técnicas e Ingenierías</t>
  </si>
  <si>
    <t>2.2.2.</t>
  </si>
  <si>
    <t>Ingresos por licencias de Derechos de Propiedad Industrial e Intelectual</t>
  </si>
  <si>
    <t>Euros de derechos reconocidos</t>
  </si>
  <si>
    <t>Derechos 1</t>
  </si>
  <si>
    <t>Derechos 2</t>
  </si>
  <si>
    <t>2.2.3.</t>
  </si>
  <si>
    <t>Otras acciones de Apoyo Técnico bajo contrato al amparo del artículo 83 de la LOU</t>
  </si>
  <si>
    <t>2.2.4.</t>
  </si>
  <si>
    <t>3.1.</t>
  </si>
  <si>
    <t>RESULTADOS PRODUCCIÓN CIENTÍFICA</t>
  </si>
  <si>
    <t>3.2.</t>
  </si>
  <si>
    <t xml:space="preserve">   Euros de derechos reconocidos</t>
  </si>
  <si>
    <t>Spin</t>
  </si>
  <si>
    <t>Coautores</t>
  </si>
  <si>
    <t>Otros</t>
  </si>
  <si>
    <t>Artículos</t>
  </si>
  <si>
    <t>Congresos</t>
  </si>
  <si>
    <t>Internacional</t>
  </si>
  <si>
    <t>Nacional</t>
  </si>
  <si>
    <t>Comité Int</t>
  </si>
  <si>
    <t>Comité Nac</t>
  </si>
  <si>
    <t>3.3.</t>
  </si>
  <si>
    <t>e</t>
  </si>
  <si>
    <t>f</t>
  </si>
  <si>
    <t>Libro Inv Prestigio</t>
  </si>
  <si>
    <t>Libro Inv Otras</t>
  </si>
  <si>
    <t>Capítulo Inv Prestigio</t>
  </si>
  <si>
    <t>Capítulo Inv Otras</t>
  </si>
  <si>
    <t>Editor Inv Prestigio</t>
  </si>
  <si>
    <t>Editor Inv Otras</t>
  </si>
  <si>
    <t>Libros</t>
  </si>
  <si>
    <t>3.4.</t>
  </si>
  <si>
    <t xml:space="preserve">Dirección de Tesis Doctorales </t>
  </si>
  <si>
    <t>TopeTesis</t>
  </si>
  <si>
    <t>RESULTADOS DE ACCIONES DE TRASFERENCIA DEL CONOCIMIENTO</t>
  </si>
  <si>
    <t>4.1.</t>
  </si>
  <si>
    <t>Internacional UJA</t>
  </si>
  <si>
    <t>Internacional NO UJA</t>
  </si>
  <si>
    <t>Nacional UJA</t>
  </si>
  <si>
    <t>Nacional NO UJA</t>
  </si>
  <si>
    <t>Patentes</t>
  </si>
  <si>
    <t>Prop Intelec UJA</t>
  </si>
  <si>
    <t>Prop Intelec NO UJA</t>
  </si>
  <si>
    <t>RESULTADOS DE LA CREACIÓN ARTÍSTICA</t>
  </si>
  <si>
    <t>5.1.</t>
  </si>
  <si>
    <t>Creación Artística vinculada a espacios expositivos</t>
  </si>
  <si>
    <t xml:space="preserve">   Exposición de la obra individual en espacio expositivo internacional</t>
  </si>
  <si>
    <t xml:space="preserve">   Exposición de la obra colectiva en espacio expositivo internacional</t>
  </si>
  <si>
    <t xml:space="preserve">   Exposición de la obra individual en espacio expositivo nacional</t>
  </si>
  <si>
    <t xml:space="preserve">   Exposición de la obra colectiva en espacio expositivo nacional</t>
  </si>
  <si>
    <t xml:space="preserve">   Exposición de la obra individual en otros tipos de espacios expositivos</t>
  </si>
  <si>
    <t xml:space="preserve">   Exposición de la obra colectiva en otros tipos de espacios expositivos</t>
  </si>
  <si>
    <t xml:space="preserve">   Comisionado Exposición internacional</t>
  </si>
  <si>
    <t xml:space="preserve">   Comisionado Exposición nacional</t>
  </si>
  <si>
    <t xml:space="preserve">   Comisionado Exposición otros</t>
  </si>
  <si>
    <t>Comisionado</t>
  </si>
  <si>
    <t>5.2.</t>
  </si>
  <si>
    <t>Representante Nacional o Gestor de Programa Marco de la U.E</t>
  </si>
  <si>
    <t>Coordinador de área de la CICYT, Coordinador de la ANEP</t>
  </si>
  <si>
    <t xml:space="preserve">Participación en Comités Científico-Técnicos Internacionales </t>
  </si>
  <si>
    <t xml:space="preserve">Participación en Comités Científico-Técnicos Nacionales de evaluación (CNEAI o ANECA) </t>
  </si>
  <si>
    <t>Otras actividades de gestión de I+D+I</t>
  </si>
  <si>
    <t>Período</t>
  </si>
  <si>
    <t>Puntuaciones</t>
  </si>
  <si>
    <t>TOTAL</t>
  </si>
  <si>
    <t>Introduzca la información en las casillas grises y use los hipervínculos indicados</t>
  </si>
  <si>
    <t>g</t>
  </si>
  <si>
    <t>h</t>
  </si>
  <si>
    <t>i</t>
  </si>
  <si>
    <t>j</t>
  </si>
  <si>
    <t xml:space="preserve">   Acciones con implicación como Inv Principal</t>
  </si>
  <si>
    <t xml:space="preserve">   Como Inv Principal</t>
  </si>
  <si>
    <r>
      <t xml:space="preserve">   Coordinador Programa Marco o </t>
    </r>
    <r>
      <rPr>
        <b/>
        <sz val="11"/>
        <color theme="1"/>
        <rFont val="Calibri (Cuerpo)"/>
      </rPr>
      <t>Internacional</t>
    </r>
    <r>
      <rPr>
        <sz val="11"/>
        <color theme="1"/>
        <rFont val="Calibri (Cuerpo)"/>
      </rPr>
      <t xml:space="preserve"> competitivo</t>
    </r>
  </si>
  <si>
    <r>
      <t xml:space="preserve">   Inv Principal Programa Marco o </t>
    </r>
    <r>
      <rPr>
        <b/>
        <sz val="11"/>
        <color theme="1"/>
        <rFont val="Calibri (Cuerpo)"/>
      </rPr>
      <t>Internacional</t>
    </r>
    <r>
      <rPr>
        <sz val="11"/>
        <color theme="1"/>
        <rFont val="Calibri (Cuerpo)"/>
      </rPr>
      <t xml:space="preserve"> competitivo</t>
    </r>
  </si>
  <si>
    <r>
      <t xml:space="preserve">   Miembro Inv. Programa Marco o </t>
    </r>
    <r>
      <rPr>
        <b/>
        <sz val="11"/>
        <color theme="1"/>
        <rFont val="Calibri (Cuerpo)"/>
      </rPr>
      <t>Internacional</t>
    </r>
    <r>
      <rPr>
        <sz val="11"/>
        <color theme="1"/>
        <rFont val="Calibri (Cuerpo)"/>
      </rPr>
      <t xml:space="preserve"> competitivo</t>
    </r>
  </si>
  <si>
    <r>
      <t xml:space="preserve">   Coordinador Plan </t>
    </r>
    <r>
      <rPr>
        <b/>
        <sz val="11"/>
        <color theme="1"/>
        <rFont val="Calibri (Cuerpo)"/>
      </rPr>
      <t>Estatal</t>
    </r>
  </si>
  <si>
    <r>
      <t xml:space="preserve">   Inv Principal Plan </t>
    </r>
    <r>
      <rPr>
        <b/>
        <sz val="11"/>
        <color theme="1"/>
        <rFont val="Calibri (Cuerpo)"/>
      </rPr>
      <t>Estatal</t>
    </r>
  </si>
  <si>
    <r>
      <t xml:space="preserve">   Miembro inv. Plan </t>
    </r>
    <r>
      <rPr>
        <b/>
        <sz val="11"/>
        <color theme="1"/>
        <rFont val="Calibri (Cuerpo)"/>
      </rPr>
      <t>Estatal</t>
    </r>
  </si>
  <si>
    <r>
      <t xml:space="preserve">   Inv Principal Plan </t>
    </r>
    <r>
      <rPr>
        <b/>
        <sz val="11"/>
        <color theme="1"/>
        <rFont val="Calibri (Cuerpo)"/>
      </rPr>
      <t>Autonómico</t>
    </r>
  </si>
  <si>
    <r>
      <t xml:space="preserve">   Miembro Inv Plan </t>
    </r>
    <r>
      <rPr>
        <b/>
        <sz val="11"/>
        <color theme="1"/>
        <rFont val="Calibri (Cuerpo)"/>
      </rPr>
      <t>Autonómico</t>
    </r>
  </si>
  <si>
    <r>
      <t xml:space="preserve">   Libro de investigación </t>
    </r>
    <r>
      <rPr>
        <b/>
        <sz val="11"/>
        <color theme="1"/>
        <rFont val="Calibri (Cuerpo)"/>
      </rPr>
      <t>Prestigio</t>
    </r>
  </si>
  <si>
    <r>
      <t xml:space="preserve">   Libro de investigación </t>
    </r>
    <r>
      <rPr>
        <b/>
        <sz val="11"/>
        <color theme="1"/>
        <rFont val="Calibri (Cuerpo)"/>
      </rPr>
      <t>Otras</t>
    </r>
  </si>
  <si>
    <r>
      <t xml:space="preserve">   Capítulos de libros de investigación </t>
    </r>
    <r>
      <rPr>
        <b/>
        <sz val="11"/>
        <color theme="1"/>
        <rFont val="Calibri (Cuerpo)"/>
      </rPr>
      <t>Prestigio</t>
    </r>
  </si>
  <si>
    <r>
      <t xml:space="preserve">   Capítulos de libros de investigación </t>
    </r>
    <r>
      <rPr>
        <b/>
        <sz val="11"/>
        <color theme="1"/>
        <rFont val="Calibri (Cuerpo)"/>
      </rPr>
      <t>Otras</t>
    </r>
  </si>
  <si>
    <r>
      <t xml:space="preserve">   Director o Codirector de tesis con mención </t>
    </r>
    <r>
      <rPr>
        <b/>
        <sz val="11"/>
        <color theme="1"/>
        <rFont val="Calibri (Cuerpo)"/>
      </rPr>
      <t>Internacional</t>
    </r>
  </si>
  <si>
    <r>
      <t xml:space="preserve">   Director o Codirector de tesis </t>
    </r>
    <r>
      <rPr>
        <b/>
        <sz val="11"/>
        <color theme="1"/>
        <rFont val="Calibri (Cuerpo)"/>
      </rPr>
      <t>sin mención</t>
    </r>
  </si>
  <si>
    <r>
      <t xml:space="preserve">   Concesión de Patentes </t>
    </r>
    <r>
      <rPr>
        <b/>
        <sz val="11"/>
        <color theme="1"/>
        <rFont val="Calibri (Cuerpo)"/>
      </rPr>
      <t>Internacionales</t>
    </r>
    <r>
      <rPr>
        <sz val="11"/>
        <color theme="1"/>
        <rFont val="Calibri (Cuerpo)"/>
      </rPr>
      <t xml:space="preserve"> UJA</t>
    </r>
  </si>
  <si>
    <r>
      <t xml:space="preserve">   Concesión de Patentes </t>
    </r>
    <r>
      <rPr>
        <b/>
        <sz val="11"/>
        <color theme="1"/>
        <rFont val="Calibri (Cuerpo)"/>
      </rPr>
      <t>Internacionales</t>
    </r>
    <r>
      <rPr>
        <sz val="11"/>
        <color theme="1"/>
        <rFont val="Calibri (Cuerpo)"/>
      </rPr>
      <t xml:space="preserve"> NO UJA</t>
    </r>
  </si>
  <si>
    <r>
      <t xml:space="preserve">   Concesión de Patentes </t>
    </r>
    <r>
      <rPr>
        <b/>
        <sz val="11"/>
        <color theme="1"/>
        <rFont val="Calibri (Cuerpo)"/>
      </rPr>
      <t>Nacionales</t>
    </r>
    <r>
      <rPr>
        <sz val="11"/>
        <color theme="1"/>
        <rFont val="Calibri (Cuerpo)"/>
      </rPr>
      <t xml:space="preserve"> UJA</t>
    </r>
  </si>
  <si>
    <r>
      <t xml:space="preserve">   Concesión de Patentes </t>
    </r>
    <r>
      <rPr>
        <b/>
        <sz val="11"/>
        <color theme="1"/>
        <rFont val="Calibri (Cuerpo)"/>
      </rPr>
      <t>Nacionales</t>
    </r>
    <r>
      <rPr>
        <sz val="11"/>
        <color theme="1"/>
        <rFont val="Calibri (Cuerpo)"/>
      </rPr>
      <t xml:space="preserve"> NO UJA</t>
    </r>
  </si>
  <si>
    <r>
      <t xml:space="preserve">   </t>
    </r>
    <r>
      <rPr>
        <b/>
        <sz val="11"/>
        <color theme="1"/>
        <rFont val="Calibri (Cuerpo)"/>
      </rPr>
      <t>Propiedad</t>
    </r>
    <r>
      <rPr>
        <sz val="11"/>
        <color theme="1"/>
        <rFont val="Calibri (Cuerpo)"/>
      </rPr>
      <t xml:space="preserve"> Intelectual UJA</t>
    </r>
  </si>
  <si>
    <r>
      <t xml:space="preserve">   </t>
    </r>
    <r>
      <rPr>
        <b/>
        <sz val="11"/>
        <color theme="1"/>
        <rFont val="Calibri (Cuerpo)"/>
      </rPr>
      <t>Propiedad</t>
    </r>
    <r>
      <rPr>
        <sz val="11"/>
        <color theme="1"/>
        <rFont val="Calibri (Cuerpo)"/>
      </rPr>
      <t xml:space="preserve"> Intelectual NO UJA</t>
    </r>
  </si>
  <si>
    <t xml:space="preserve">   Itinerancia de la Exposición</t>
  </si>
  <si>
    <t>1. RESULTADOS INVESTIGACIÓN CONSOLIDADOS</t>
  </si>
  <si>
    <t>2. ACCIONES DE I+D+i  Y CAPTACIÓN DE RECURSOS</t>
  </si>
  <si>
    <t>3. RESULTADOS PRODUCCIÓN CIENTÍFICA</t>
  </si>
  <si>
    <t>4. ACCIONES DE TRASFERENCIA DEL CONOCIMIENTO</t>
  </si>
  <si>
    <t>5. RESULTADOS DE LA CREACIÓN ARTÍSTICA</t>
  </si>
  <si>
    <t>6. OTROS MÉRITOS</t>
  </si>
  <si>
    <t>RESUMEN</t>
  </si>
  <si>
    <t>a.1</t>
  </si>
  <si>
    <t>a.2</t>
  </si>
  <si>
    <t>a.3</t>
  </si>
  <si>
    <t>a.4</t>
  </si>
  <si>
    <t>a.5</t>
  </si>
  <si>
    <t>a.6</t>
  </si>
  <si>
    <t>a.7</t>
  </si>
  <si>
    <t>a.8</t>
  </si>
  <si>
    <r>
      <t xml:space="preserve">   Artículos en revistas indexadas </t>
    </r>
    <r>
      <rPr>
        <b/>
        <u/>
        <sz val="11"/>
        <color theme="1"/>
        <rFont val="Calibri (Cuerpo)"/>
      </rPr>
      <t>nivel 1</t>
    </r>
  </si>
  <si>
    <r>
      <t xml:space="preserve">   Artículos en revistas indexadas </t>
    </r>
    <r>
      <rPr>
        <b/>
        <u/>
        <sz val="11"/>
        <color theme="1"/>
        <rFont val="Calibri (Cuerpo)"/>
      </rPr>
      <t>nivel 2</t>
    </r>
  </si>
  <si>
    <r>
      <t xml:space="preserve">   Artículos en revistas indexadas </t>
    </r>
    <r>
      <rPr>
        <b/>
        <u/>
        <sz val="11"/>
        <color theme="1"/>
        <rFont val="Calibri (Cuerpo)"/>
      </rPr>
      <t>nivel 3</t>
    </r>
  </si>
  <si>
    <r>
      <t xml:space="preserve">   Artículos en revistas</t>
    </r>
    <r>
      <rPr>
        <b/>
        <u/>
        <sz val="11"/>
        <color theme="1"/>
        <rFont val="Calibri (Cuerpo)"/>
      </rPr>
      <t xml:space="preserve"> con revisión por pares no indexadas</t>
    </r>
  </si>
  <si>
    <t>Creación y participación en Spin-Off UJA</t>
  </si>
  <si>
    <t>Publicación de resultados en revistas de investigación</t>
  </si>
  <si>
    <r>
      <t xml:space="preserve">   </t>
    </r>
    <r>
      <rPr>
        <b/>
        <sz val="11"/>
        <color theme="1"/>
        <rFont val="Calibri (Cuerpo)"/>
      </rPr>
      <t>Internacionales</t>
    </r>
  </si>
  <si>
    <r>
      <t xml:space="preserve">   </t>
    </r>
    <r>
      <rPr>
        <b/>
        <sz val="11"/>
        <color theme="1"/>
        <rFont val="Calibri (Cuerpo)"/>
      </rPr>
      <t>Nacionales</t>
    </r>
  </si>
  <si>
    <t>Publicación de resultados en libros de investigación</t>
  </si>
  <si>
    <t>Contribuciones a Congresos de Investigación</t>
  </si>
  <si>
    <t>Concesión de Patentes</t>
  </si>
  <si>
    <t>Comisionados</t>
  </si>
  <si>
    <t>Otros tipos de Creación Artística</t>
  </si>
  <si>
    <t>Responsable de Grupo de Investigación PAIDI de la UJA</t>
  </si>
  <si>
    <t>Indique el Área de Conocimiento en la que desee ser evaluado:</t>
  </si>
  <si>
    <r>
      <t xml:space="preserve">   Miembro Inv Proyecto </t>
    </r>
    <r>
      <rPr>
        <b/>
        <sz val="11"/>
        <color theme="1"/>
        <rFont val="Calibri (Cuerpo)"/>
      </rPr>
      <t>Local</t>
    </r>
    <r>
      <rPr>
        <sz val="11"/>
        <color theme="1"/>
        <rFont val="Calibri (Cuerpo)"/>
      </rPr>
      <t xml:space="preserve"> o del Plan de Apoyo a la I+D+I de la UJA </t>
    </r>
  </si>
  <si>
    <r>
      <t xml:space="preserve">   Inv Principal Proyecto </t>
    </r>
    <r>
      <rPr>
        <b/>
        <sz val="11"/>
        <color theme="1"/>
        <rFont val="Calibri (Cuerpo)"/>
      </rPr>
      <t>Local</t>
    </r>
    <r>
      <rPr>
        <sz val="11"/>
        <color theme="1"/>
        <rFont val="Calibri (Cuerpo)"/>
      </rPr>
      <t xml:space="preserve"> o del Plan de Apoyo a la I+D+I de la UJA </t>
    </r>
  </si>
  <si>
    <t>Vicerrectorado de Investigación</t>
  </si>
  <si>
    <t xml:space="preserve">OTROS MÉRITOS: Actividades de servicio general a la investigación.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</si>
</sst>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_-* #,##0\ _€_-;\-* #,##0\ _€_-;_-* &quot;-&quot;??\ _€_-;_-@_-"/>
  </numFmts>
  <fonts count="23">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b/>
      <sz val="10"/>
      <color indexed="81"/>
      <name val="Calibri"/>
      <family val="2"/>
    </font>
    <font>
      <sz val="10"/>
      <color indexed="81"/>
      <name val="Calibri"/>
      <family val="2"/>
    </font>
    <font>
      <sz val="13"/>
      <color theme="1"/>
      <name val="Cambria"/>
      <family val="1"/>
    </font>
    <font>
      <b/>
      <sz val="14"/>
      <color rgb="FFFF0000"/>
      <name val="Calibri"/>
      <family val="2"/>
      <scheme val="minor"/>
    </font>
    <font>
      <sz val="12"/>
      <color rgb="FF000000"/>
      <name val="Calibri"/>
      <family val="2"/>
      <scheme val="minor"/>
    </font>
    <font>
      <sz val="11"/>
      <color theme="1"/>
      <name val="Calibri (Cuerpo)"/>
    </font>
    <font>
      <b/>
      <sz val="11"/>
      <color theme="1"/>
      <name val="Calibri (Cuerpo)"/>
    </font>
    <font>
      <b/>
      <u/>
      <sz val="11"/>
      <color theme="10"/>
      <name val="Calibri (Cuerpo)"/>
    </font>
    <font>
      <i/>
      <sz val="12"/>
      <color theme="0"/>
      <name val="Calibri (Cuerpo)"/>
    </font>
    <font>
      <b/>
      <sz val="12"/>
      <color theme="0"/>
      <name val="Calibri (Cuerpo)"/>
    </font>
    <font>
      <i/>
      <sz val="11"/>
      <color theme="1"/>
      <name val="Calibri (Cuerpo)"/>
    </font>
    <font>
      <b/>
      <u/>
      <sz val="11"/>
      <color theme="1"/>
      <name val="Calibri (Cuerpo)"/>
    </font>
    <font>
      <b/>
      <i/>
      <sz val="10"/>
      <color rgb="FFFF0000"/>
      <name val="Calibri"/>
      <family val="2"/>
    </font>
    <font>
      <sz val="9"/>
      <color indexed="81"/>
      <name val="Calibri"/>
      <family val="2"/>
    </font>
    <font>
      <b/>
      <sz val="9"/>
      <color indexed="81"/>
      <name val="Calibri"/>
      <family val="2"/>
    </font>
    <font>
      <sz val="12"/>
      <color theme="1"/>
      <name val="Cambria"/>
      <family val="1"/>
    </font>
    <font>
      <b/>
      <sz val="10"/>
      <color theme="1"/>
      <name val="Calibri (Cuerpo)"/>
    </font>
    <font>
      <b/>
      <i/>
      <sz val="9"/>
      <color theme="1"/>
      <name val="Calibri (Cuerpo)"/>
    </font>
  </fonts>
  <fills count="18">
    <fill>
      <patternFill patternType="none"/>
    </fill>
    <fill>
      <patternFill patternType="gray125"/>
    </fill>
    <fill>
      <patternFill patternType="solid">
        <fgColor rgb="FF8000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rgb="FF660066"/>
        <bgColor indexed="64"/>
      </patternFill>
    </fill>
    <fill>
      <patternFill patternType="solid">
        <fgColor theme="4" tint="0.79998168889431442"/>
        <bgColor indexed="64"/>
      </patternFill>
    </fill>
    <fill>
      <patternFill patternType="solid">
        <fgColor theme="0" tint="-4.9989318521683403E-2"/>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s>
  <cellStyleXfs count="13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72">
    <xf numFmtId="0" fontId="0" fillId="0" borderId="0" xfId="0"/>
    <xf numFmtId="0" fontId="0" fillId="0" borderId="0" xfId="0" applyAlignment="1">
      <alignment horizontal="center"/>
    </xf>
    <xf numFmtId="0" fontId="0" fillId="0" borderId="0" xfId="0" applyFill="1"/>
    <xf numFmtId="0" fontId="0" fillId="4" borderId="0" xfId="0" applyFont="1" applyFill="1" applyAlignment="1">
      <alignment horizontal="right"/>
    </xf>
    <xf numFmtId="0" fontId="0" fillId="3" borderId="0" xfId="0" applyFont="1" applyFill="1" applyAlignment="1">
      <alignment horizontal="right"/>
    </xf>
    <xf numFmtId="165" fontId="0" fillId="0" borderId="0" xfId="38" applyNumberFormat="1" applyFont="1"/>
    <xf numFmtId="0" fontId="0" fillId="6" borderId="0" xfId="0" applyFont="1" applyFill="1" applyAlignment="1">
      <alignment horizontal="right"/>
    </xf>
    <xf numFmtId="0" fontId="7" fillId="0" borderId="10" xfId="0" applyFont="1" applyFill="1" applyBorder="1"/>
    <xf numFmtId="0" fontId="7" fillId="0" borderId="10" xfId="0" applyFont="1" applyBorder="1"/>
    <xf numFmtId="0" fontId="7" fillId="0" borderId="10" xfId="0" applyFont="1" applyFill="1" applyBorder="1" applyAlignment="1">
      <alignment horizontal="right"/>
    </xf>
    <xf numFmtId="2" fontId="0" fillId="0" borderId="0" xfId="0" applyNumberFormat="1"/>
    <xf numFmtId="0" fontId="0" fillId="0" borderId="13" xfId="0" applyBorder="1"/>
    <xf numFmtId="0" fontId="0" fillId="0" borderId="14" xfId="0" applyBorder="1"/>
    <xf numFmtId="0" fontId="0" fillId="0" borderId="15" xfId="0" applyBorder="1"/>
    <xf numFmtId="2" fontId="0" fillId="0" borderId="0" xfId="0" applyNumberFormat="1" applyAlignment="1">
      <alignment horizontal="center"/>
    </xf>
    <xf numFmtId="0" fontId="0" fillId="7" borderId="0" xfId="0" applyFont="1" applyFill="1" applyAlignment="1">
      <alignment horizontal="right"/>
    </xf>
    <xf numFmtId="0" fontId="0" fillId="7" borderId="0" xfId="0" applyFont="1" applyFill="1" applyBorder="1" applyAlignment="1">
      <alignment horizontal="right"/>
    </xf>
    <xf numFmtId="0" fontId="0" fillId="8" borderId="0" xfId="0" applyFont="1" applyFill="1" applyBorder="1" applyAlignment="1">
      <alignment horizontal="right"/>
    </xf>
    <xf numFmtId="0" fontId="0" fillId="9" borderId="0" xfId="0" applyFont="1" applyFill="1" applyBorder="1" applyAlignment="1">
      <alignment horizontal="right"/>
    </xf>
    <xf numFmtId="0" fontId="0" fillId="10" borderId="0" xfId="0" applyFont="1" applyFill="1" applyBorder="1" applyAlignment="1">
      <alignment horizontal="right"/>
    </xf>
    <xf numFmtId="0" fontId="0" fillId="11" borderId="0" xfId="0" applyFont="1" applyFill="1" applyBorder="1" applyAlignment="1">
      <alignment horizontal="right"/>
    </xf>
    <xf numFmtId="0" fontId="0" fillId="12" borderId="0" xfId="0" applyFont="1" applyFill="1" applyBorder="1" applyAlignment="1">
      <alignment horizontal="right"/>
    </xf>
    <xf numFmtId="0" fontId="0" fillId="13" borderId="0" xfId="0" applyFill="1" applyAlignment="1">
      <alignment horizontal="right"/>
    </xf>
    <xf numFmtId="0" fontId="0" fillId="13" borderId="0" xfId="0" applyFill="1" applyBorder="1" applyAlignment="1">
      <alignment horizontal="right"/>
    </xf>
    <xf numFmtId="0" fontId="0" fillId="14" borderId="0" xfId="0" applyFill="1" applyAlignment="1">
      <alignment horizontal="right"/>
    </xf>
    <xf numFmtId="2" fontId="8" fillId="0" borderId="2" xfId="0" applyNumberFormat="1" applyFont="1" applyBorder="1" applyAlignment="1">
      <alignment horizontal="center"/>
    </xf>
    <xf numFmtId="0" fontId="0" fillId="0" borderId="0" xfId="0" applyAlignment="1">
      <alignment horizontal="center"/>
    </xf>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4" fontId="0" fillId="0" borderId="2" xfId="0" applyNumberFormat="1" applyBorder="1"/>
    <xf numFmtId="165" fontId="9" fillId="0" borderId="3" xfId="0" applyNumberFormat="1" applyFont="1" applyBorder="1"/>
    <xf numFmtId="0" fontId="9" fillId="0" borderId="5" xfId="0" applyFont="1" applyBorder="1"/>
    <xf numFmtId="165" fontId="9" fillId="0" borderId="6" xfId="0" applyNumberFormat="1" applyFont="1" applyBorder="1"/>
    <xf numFmtId="0" fontId="9" fillId="0" borderId="7" xfId="0" applyFont="1" applyBorder="1"/>
    <xf numFmtId="165" fontId="9" fillId="0" borderId="8" xfId="0" applyNumberFormat="1" applyFont="1" applyBorder="1"/>
    <xf numFmtId="0" fontId="9" fillId="0" borderId="9" xfId="0" applyFont="1"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9" xfId="0" applyBorder="1" applyAlignment="1">
      <alignment horizontal="center"/>
    </xf>
    <xf numFmtId="0" fontId="10" fillId="0" borderId="0" xfId="0" applyFont="1"/>
    <xf numFmtId="14" fontId="10" fillId="0" borderId="0" xfId="0" applyNumberFormat="1" applyFont="1"/>
    <xf numFmtId="0" fontId="10" fillId="12" borderId="0" xfId="0" applyFont="1" applyFill="1"/>
    <xf numFmtId="0" fontId="10" fillId="13" borderId="0" xfId="0" applyFont="1" applyFill="1"/>
    <xf numFmtId="0" fontId="10" fillId="14" borderId="0" xfId="0" applyFont="1" applyFill="1" applyBorder="1"/>
    <xf numFmtId="0" fontId="11" fillId="0" borderId="11" xfId="0" applyFont="1" applyFill="1" applyBorder="1" applyAlignment="1">
      <alignment vertical="center"/>
    </xf>
    <xf numFmtId="0" fontId="11" fillId="4" borderId="0" xfId="0" applyFont="1" applyFill="1"/>
    <xf numFmtId="0" fontId="11" fillId="4" borderId="0" xfId="0" applyFont="1" applyFill="1" applyAlignment="1">
      <alignment horizontal="left"/>
    </xf>
    <xf numFmtId="0" fontId="11" fillId="0" borderId="11" xfId="0" applyFont="1" applyFill="1" applyBorder="1"/>
    <xf numFmtId="0" fontId="11" fillId="3" borderId="0" xfId="0" applyFont="1" applyFill="1"/>
    <xf numFmtId="0" fontId="10" fillId="3" borderId="0" xfId="0" applyFont="1" applyFill="1"/>
    <xf numFmtId="0" fontId="11" fillId="6" borderId="0" xfId="0" applyFont="1" applyFill="1"/>
    <xf numFmtId="0" fontId="10" fillId="6" borderId="0" xfId="0" applyFont="1" applyFill="1"/>
    <xf numFmtId="0" fontId="11" fillId="0" borderId="11" xfId="0" applyFont="1" applyBorder="1"/>
    <xf numFmtId="0" fontId="10" fillId="7" borderId="0" xfId="0" applyFont="1" applyFill="1"/>
    <xf numFmtId="0" fontId="10" fillId="8" borderId="0" xfId="0" applyFont="1" applyFill="1"/>
    <xf numFmtId="0" fontId="10" fillId="9" borderId="0" xfId="0" applyFont="1" applyFill="1"/>
    <xf numFmtId="0" fontId="10" fillId="10" borderId="0" xfId="0" applyFont="1" applyFill="1"/>
    <xf numFmtId="0" fontId="10" fillId="11" borderId="0" xfId="0" applyFont="1" applyFill="1"/>
    <xf numFmtId="0" fontId="10" fillId="12" borderId="0" xfId="0" applyFont="1" applyFill="1" applyAlignment="1">
      <alignment horizontal="justify" vertical="center" wrapText="1"/>
    </xf>
    <xf numFmtId="0" fontId="10" fillId="12" borderId="0" xfId="0" applyFont="1" applyFill="1" applyBorder="1"/>
    <xf numFmtId="0" fontId="13" fillId="15" borderId="0" xfId="0" applyFont="1" applyFill="1" applyAlignment="1">
      <alignment horizontal="center"/>
    </xf>
    <xf numFmtId="0" fontId="14" fillId="2" borderId="0" xfId="0" applyFont="1" applyFill="1" applyAlignment="1">
      <alignment horizontal="center"/>
    </xf>
    <xf numFmtId="0" fontId="14" fillId="2" borderId="0" xfId="0" applyFont="1" applyFill="1" applyAlignment="1" applyProtection="1">
      <alignment horizontal="center"/>
      <protection locked="0"/>
    </xf>
    <xf numFmtId="0" fontId="10" fillId="0" borderId="0" xfId="0" applyFont="1" applyAlignment="1">
      <alignment horizontal="center"/>
    </xf>
    <xf numFmtId="2" fontId="10" fillId="0" borderId="0" xfId="0" applyNumberFormat="1" applyFont="1" applyAlignment="1">
      <alignment horizontal="center"/>
    </xf>
    <xf numFmtId="9" fontId="10" fillId="0" borderId="0" xfId="1" applyFont="1" applyAlignment="1">
      <alignment horizontal="center"/>
    </xf>
    <xf numFmtId="0" fontId="11" fillId="0" borderId="1" xfId="0" applyFont="1" applyBorder="1" applyAlignment="1">
      <alignment horizontal="center"/>
    </xf>
    <xf numFmtId="0" fontId="10" fillId="0" borderId="0" xfId="0" applyFont="1" applyFill="1" applyAlignment="1">
      <alignment horizontal="center"/>
    </xf>
    <xf numFmtId="0" fontId="11" fillId="0" borderId="0" xfId="0" applyFont="1" applyFill="1" applyBorder="1" applyAlignment="1">
      <alignment horizontal="center"/>
    </xf>
    <xf numFmtId="0" fontId="10" fillId="5" borderId="2" xfId="0" applyFont="1" applyFill="1" applyBorder="1" applyAlignment="1" applyProtection="1">
      <alignment horizontal="center"/>
      <protection locked="0"/>
    </xf>
    <xf numFmtId="0" fontId="15" fillId="0" borderId="0" xfId="0" applyFont="1" applyAlignment="1">
      <alignment horizontal="center"/>
    </xf>
    <xf numFmtId="0" fontId="10" fillId="5" borderId="3" xfId="0" applyFont="1" applyFill="1" applyBorder="1" applyAlignment="1" applyProtection="1">
      <alignment horizontal="center"/>
      <protection locked="0"/>
    </xf>
    <xf numFmtId="0" fontId="10" fillId="5" borderId="4" xfId="0" applyFont="1" applyFill="1" applyBorder="1" applyAlignment="1" applyProtection="1">
      <alignment horizontal="center"/>
      <protection locked="0"/>
    </xf>
    <xf numFmtId="0" fontId="10" fillId="5" borderId="5" xfId="0" applyFont="1" applyFill="1" applyBorder="1" applyAlignment="1" applyProtection="1">
      <alignment horizontal="center"/>
      <protection locked="0"/>
    </xf>
    <xf numFmtId="0" fontId="10" fillId="5" borderId="6" xfId="0" applyFont="1" applyFill="1" applyBorder="1" applyAlignment="1" applyProtection="1">
      <alignment horizontal="center"/>
      <protection locked="0"/>
    </xf>
    <xf numFmtId="0" fontId="10" fillId="5" borderId="0" xfId="0" applyFont="1" applyFill="1" applyBorder="1" applyAlignment="1" applyProtection="1">
      <alignment horizontal="center"/>
      <protection locked="0"/>
    </xf>
    <xf numFmtId="0" fontId="10" fillId="5" borderId="7" xfId="0" applyFont="1" applyFill="1" applyBorder="1" applyAlignment="1" applyProtection="1">
      <alignment horizontal="center"/>
      <protection locked="0"/>
    </xf>
    <xf numFmtId="0" fontId="10" fillId="5" borderId="8" xfId="0" applyFont="1" applyFill="1" applyBorder="1" applyAlignment="1" applyProtection="1">
      <alignment horizontal="center"/>
      <protection locked="0"/>
    </xf>
    <xf numFmtId="0" fontId="10" fillId="5" borderId="1" xfId="0" applyFont="1" applyFill="1" applyBorder="1" applyAlignment="1" applyProtection="1">
      <alignment horizontal="center"/>
      <protection locked="0"/>
    </xf>
    <xf numFmtId="0" fontId="10" fillId="5" borderId="9" xfId="0" applyFont="1" applyFill="1" applyBorder="1" applyAlignment="1" applyProtection="1">
      <alignment horizontal="center"/>
      <protection locked="0"/>
    </xf>
    <xf numFmtId="164" fontId="10" fillId="0" borderId="0" xfId="0" applyNumberFormat="1" applyFont="1" applyAlignment="1">
      <alignment horizontal="center"/>
    </xf>
    <xf numFmtId="2" fontId="15" fillId="0" borderId="0" xfId="0" applyNumberFormat="1" applyFont="1" applyAlignment="1">
      <alignment horizontal="center"/>
    </xf>
    <xf numFmtId="165" fontId="10" fillId="5" borderId="3" xfId="38" applyNumberFormat="1" applyFont="1" applyFill="1" applyBorder="1" applyAlignment="1" applyProtection="1">
      <alignment horizontal="center"/>
      <protection locked="0"/>
    </xf>
    <xf numFmtId="165" fontId="10" fillId="5" borderId="4" xfId="38" applyNumberFormat="1" applyFont="1" applyFill="1" applyBorder="1" applyAlignment="1" applyProtection="1">
      <alignment horizontal="center"/>
      <protection locked="0"/>
    </xf>
    <xf numFmtId="165" fontId="10" fillId="5" borderId="5" xfId="38" applyNumberFormat="1" applyFont="1" applyFill="1" applyBorder="1" applyAlignment="1" applyProtection="1">
      <alignment horizontal="center"/>
      <protection locked="0"/>
    </xf>
    <xf numFmtId="165" fontId="10" fillId="5" borderId="8" xfId="38" applyNumberFormat="1" applyFont="1" applyFill="1" applyBorder="1" applyAlignment="1" applyProtection="1">
      <alignment horizontal="center"/>
      <protection locked="0"/>
    </xf>
    <xf numFmtId="165" fontId="10" fillId="5" borderId="1" xfId="38" applyNumberFormat="1" applyFont="1" applyFill="1" applyBorder="1" applyAlignment="1" applyProtection="1">
      <alignment horizontal="center"/>
      <protection locked="0"/>
    </xf>
    <xf numFmtId="165" fontId="10" fillId="5" borderId="9" xfId="38" applyNumberFormat="1" applyFont="1" applyFill="1" applyBorder="1" applyAlignment="1" applyProtection="1">
      <alignment horizontal="center"/>
      <protection locked="0"/>
    </xf>
    <xf numFmtId="165" fontId="10" fillId="5" borderId="0" xfId="38" applyNumberFormat="1" applyFont="1" applyFill="1" applyAlignment="1" applyProtection="1">
      <alignment horizontal="center"/>
      <protection locked="0"/>
    </xf>
    <xf numFmtId="0" fontId="10" fillId="0" borderId="0" xfId="0" applyFont="1" applyFill="1" applyBorder="1" applyAlignment="1">
      <alignment horizontal="center"/>
    </xf>
    <xf numFmtId="2" fontId="15" fillId="0" borderId="0" xfId="0" applyNumberFormat="1" applyFont="1" applyFill="1" applyBorder="1" applyAlignment="1">
      <alignment horizontal="center"/>
    </xf>
    <xf numFmtId="2" fontId="15" fillId="0" borderId="10" xfId="0" applyNumberFormat="1" applyFont="1" applyBorder="1" applyAlignment="1">
      <alignment horizontal="center"/>
    </xf>
    <xf numFmtId="2" fontId="15" fillId="0" borderId="12" xfId="0" applyNumberFormat="1" applyFont="1" applyBorder="1" applyAlignment="1">
      <alignment horizontal="center"/>
    </xf>
    <xf numFmtId="2" fontId="15" fillId="0" borderId="11" xfId="0" applyNumberFormat="1" applyFont="1" applyBorder="1" applyAlignment="1">
      <alignment horizontal="center"/>
    </xf>
    <xf numFmtId="0" fontId="11" fillId="12" borderId="0" xfId="0" applyFont="1" applyFill="1"/>
    <xf numFmtId="0" fontId="11" fillId="10" borderId="0" xfId="0" applyFont="1" applyFill="1"/>
    <xf numFmtId="0" fontId="11" fillId="13" borderId="0" xfId="0" applyFont="1" applyFill="1"/>
    <xf numFmtId="0" fontId="12" fillId="14" borderId="0" xfId="89" applyFont="1" applyFill="1"/>
    <xf numFmtId="0" fontId="10" fillId="0" borderId="0" xfId="0" applyFont="1" applyAlignment="1">
      <alignment horizontal="center"/>
    </xf>
    <xf numFmtId="0" fontId="15" fillId="0" borderId="0" xfId="0" applyFont="1" applyFill="1" applyAlignment="1">
      <alignment horizontal="center"/>
    </xf>
    <xf numFmtId="2" fontId="0" fillId="0" borderId="2" xfId="0" applyNumberFormat="1" applyFill="1" applyBorder="1" applyAlignment="1">
      <alignment horizontal="center"/>
    </xf>
    <xf numFmtId="2" fontId="0" fillId="0" borderId="13" xfId="0" applyNumberFormat="1" applyFill="1" applyBorder="1" applyAlignment="1">
      <alignment horizontal="center"/>
    </xf>
    <xf numFmtId="2" fontId="0" fillId="0" borderId="14" xfId="0" applyNumberFormat="1" applyFill="1" applyBorder="1" applyAlignment="1">
      <alignment horizontal="center"/>
    </xf>
    <xf numFmtId="2" fontId="0" fillId="0" borderId="14" xfId="0" applyNumberFormat="1" applyBorder="1" applyAlignment="1">
      <alignment horizontal="center"/>
    </xf>
    <xf numFmtId="2" fontId="0" fillId="0" borderId="15" xfId="0" applyNumberFormat="1" applyBorder="1" applyAlignment="1">
      <alignment horizontal="center"/>
    </xf>
    <xf numFmtId="2" fontId="0" fillId="0" borderId="13" xfId="0" applyNumberFormat="1" applyBorder="1" applyAlignment="1">
      <alignment horizontal="center"/>
    </xf>
    <xf numFmtId="0" fontId="10" fillId="0" borderId="0" xfId="0" applyFont="1" applyFill="1" applyBorder="1"/>
    <xf numFmtId="0" fontId="10" fillId="0" borderId="0" xfId="0" applyFont="1" applyFill="1" applyBorder="1" applyAlignment="1">
      <alignment vertical="center"/>
    </xf>
    <xf numFmtId="9" fontId="0" fillId="0" borderId="3" xfId="1" applyFont="1" applyBorder="1" applyAlignment="1">
      <alignment horizontal="center"/>
    </xf>
    <xf numFmtId="9" fontId="0" fillId="0" borderId="4" xfId="1" applyFont="1" applyBorder="1" applyAlignment="1">
      <alignment horizontal="center"/>
    </xf>
    <xf numFmtId="9" fontId="0" fillId="0" borderId="5" xfId="1" applyFont="1" applyBorder="1" applyAlignment="1">
      <alignment horizontal="center"/>
    </xf>
    <xf numFmtId="9" fontId="0" fillId="0" borderId="6" xfId="1" applyFont="1" applyBorder="1" applyAlignment="1">
      <alignment horizontal="center"/>
    </xf>
    <xf numFmtId="9" fontId="0" fillId="0" borderId="0" xfId="1" applyFont="1" applyBorder="1" applyAlignment="1">
      <alignment horizontal="center"/>
    </xf>
    <xf numFmtId="9" fontId="0" fillId="0" borderId="7" xfId="1" applyFont="1" applyBorder="1" applyAlignment="1">
      <alignment horizontal="center"/>
    </xf>
    <xf numFmtId="9" fontId="0" fillId="0" borderId="8" xfId="1" applyFont="1" applyBorder="1" applyAlignment="1">
      <alignment horizontal="center"/>
    </xf>
    <xf numFmtId="9" fontId="0" fillId="0" borderId="1" xfId="1" applyFont="1" applyBorder="1" applyAlignment="1">
      <alignment horizontal="center"/>
    </xf>
    <xf numFmtId="9" fontId="0" fillId="0" borderId="9" xfId="1" applyFont="1" applyBorder="1" applyAlignment="1">
      <alignment horizontal="center"/>
    </xf>
    <xf numFmtId="0" fontId="10" fillId="0" borderId="0" xfId="0" applyFont="1" applyAlignment="1">
      <alignment horizontal="center"/>
    </xf>
    <xf numFmtId="0" fontId="11" fillId="16" borderId="0" xfId="0" applyFont="1" applyFill="1"/>
    <xf numFmtId="0" fontId="0" fillId="8" borderId="16" xfId="0" applyFont="1" applyFill="1" applyBorder="1" applyAlignment="1">
      <alignment horizontal="right"/>
    </xf>
    <xf numFmtId="0" fontId="10" fillId="8" borderId="16" xfId="0" applyFont="1" applyFill="1" applyBorder="1"/>
    <xf numFmtId="0" fontId="10" fillId="0" borderId="16" xfId="0" applyFont="1" applyBorder="1" applyAlignment="1">
      <alignment horizontal="center"/>
    </xf>
    <xf numFmtId="0" fontId="0" fillId="0" borderId="16" xfId="0" applyBorder="1"/>
    <xf numFmtId="0" fontId="0" fillId="6" borderId="16" xfId="0" applyFont="1" applyFill="1" applyBorder="1" applyAlignment="1">
      <alignment horizontal="right"/>
    </xf>
    <xf numFmtId="0" fontId="10" fillId="6" borderId="16" xfId="0" applyFont="1" applyFill="1" applyBorder="1"/>
    <xf numFmtId="165" fontId="10" fillId="5" borderId="16" xfId="38" applyNumberFormat="1" applyFont="1" applyFill="1" applyBorder="1" applyAlignment="1" applyProtection="1">
      <alignment horizontal="center"/>
      <protection locked="0"/>
    </xf>
    <xf numFmtId="0" fontId="7" fillId="0" borderId="8" xfId="0" applyFont="1" applyFill="1" applyBorder="1" applyAlignment="1">
      <alignment horizontal="right"/>
    </xf>
    <xf numFmtId="0" fontId="11" fillId="0" borderId="9" xfId="0" applyFont="1" applyBorder="1"/>
    <xf numFmtId="164" fontId="10" fillId="0" borderId="16" xfId="0" applyNumberFormat="1" applyFont="1" applyBorder="1" applyAlignment="1">
      <alignment horizontal="center"/>
    </xf>
    <xf numFmtId="0" fontId="0" fillId="7" borderId="16" xfId="0" applyFont="1" applyFill="1" applyBorder="1" applyAlignment="1">
      <alignment horizontal="right"/>
    </xf>
    <xf numFmtId="0" fontId="10" fillId="7" borderId="16" xfId="0" applyFont="1" applyFill="1" applyBorder="1"/>
    <xf numFmtId="0" fontId="0" fillId="9" borderId="16" xfId="0" applyFont="1" applyFill="1" applyBorder="1" applyAlignment="1">
      <alignment horizontal="right"/>
    </xf>
    <xf numFmtId="0" fontId="10" fillId="9" borderId="16" xfId="0" applyFont="1" applyFill="1" applyBorder="1"/>
    <xf numFmtId="0" fontId="11" fillId="8" borderId="0" xfId="0" applyFont="1" applyFill="1"/>
    <xf numFmtId="0" fontId="10" fillId="0" borderId="0" xfId="0" applyFont="1" applyAlignment="1">
      <alignment horizontal="center"/>
    </xf>
    <xf numFmtId="0" fontId="0" fillId="11" borderId="16" xfId="0" applyFont="1" applyFill="1" applyBorder="1" applyAlignment="1">
      <alignment horizontal="right"/>
    </xf>
    <xf numFmtId="0" fontId="10" fillId="11" borderId="16" xfId="0" applyFont="1" applyFill="1" applyBorder="1"/>
    <xf numFmtId="0" fontId="11" fillId="11" borderId="0" xfId="0" applyFont="1" applyFill="1"/>
    <xf numFmtId="0" fontId="10" fillId="12" borderId="16" xfId="0" applyFont="1" applyFill="1" applyBorder="1"/>
    <xf numFmtId="1" fontId="10" fillId="5" borderId="3" xfId="0" applyNumberFormat="1" applyFont="1" applyFill="1" applyBorder="1" applyAlignment="1" applyProtection="1">
      <alignment horizontal="center"/>
      <protection locked="0"/>
    </xf>
    <xf numFmtId="1" fontId="10" fillId="5" borderId="4" xfId="0" applyNumberFormat="1" applyFont="1" applyFill="1" applyBorder="1" applyAlignment="1" applyProtection="1">
      <alignment horizontal="center"/>
      <protection locked="0"/>
    </xf>
    <xf numFmtId="1" fontId="10" fillId="5" borderId="5" xfId="0" applyNumberFormat="1" applyFont="1" applyFill="1" applyBorder="1" applyAlignment="1" applyProtection="1">
      <alignment horizontal="center"/>
      <protection locked="0"/>
    </xf>
    <xf numFmtId="1" fontId="10" fillId="5" borderId="6" xfId="0" applyNumberFormat="1" applyFont="1" applyFill="1" applyBorder="1" applyAlignment="1" applyProtection="1">
      <alignment horizontal="center"/>
      <protection locked="0"/>
    </xf>
    <xf numFmtId="1" fontId="10" fillId="5" borderId="0" xfId="0" applyNumberFormat="1" applyFont="1" applyFill="1" applyBorder="1" applyAlignment="1" applyProtection="1">
      <alignment horizontal="center"/>
      <protection locked="0"/>
    </xf>
    <xf numFmtId="1" fontId="10" fillId="5" borderId="7" xfId="0" applyNumberFormat="1" applyFont="1" applyFill="1" applyBorder="1" applyAlignment="1" applyProtection="1">
      <alignment horizontal="center"/>
      <protection locked="0"/>
    </xf>
    <xf numFmtId="1" fontId="10" fillId="5" borderId="17" xfId="0" applyNumberFormat="1" applyFont="1" applyFill="1" applyBorder="1" applyAlignment="1" applyProtection="1">
      <alignment horizontal="center"/>
      <protection locked="0"/>
    </xf>
    <xf numFmtId="1" fontId="10" fillId="5" borderId="16" xfId="0" applyNumberFormat="1" applyFont="1" applyFill="1" applyBorder="1" applyAlignment="1" applyProtection="1">
      <alignment horizontal="center"/>
      <protection locked="0"/>
    </xf>
    <xf numFmtId="1" fontId="10" fillId="5" borderId="18" xfId="0" applyNumberFormat="1" applyFont="1" applyFill="1" applyBorder="1" applyAlignment="1" applyProtection="1">
      <alignment horizontal="center"/>
      <protection locked="0"/>
    </xf>
    <xf numFmtId="1" fontId="10" fillId="5" borderId="8" xfId="0" applyNumberFormat="1" applyFont="1" applyFill="1" applyBorder="1" applyAlignment="1" applyProtection="1">
      <alignment horizontal="center"/>
      <protection locked="0"/>
    </xf>
    <xf numFmtId="1" fontId="10" fillId="5" borderId="1" xfId="0" applyNumberFormat="1" applyFont="1" applyFill="1" applyBorder="1" applyAlignment="1" applyProtection="1">
      <alignment horizontal="center"/>
      <protection locked="0"/>
    </xf>
    <xf numFmtId="1" fontId="10" fillId="5" borderId="9" xfId="0" applyNumberFormat="1" applyFont="1" applyFill="1" applyBorder="1" applyAlignment="1" applyProtection="1">
      <alignment horizontal="center"/>
      <protection locked="0"/>
    </xf>
    <xf numFmtId="2" fontId="15" fillId="0" borderId="0" xfId="0" applyNumberFormat="1" applyFont="1" applyFill="1" applyBorder="1" applyAlignment="1" applyProtection="1">
      <alignment horizontal="center"/>
    </xf>
    <xf numFmtId="2" fontId="15" fillId="0" borderId="0" xfId="0" applyNumberFormat="1" applyFont="1" applyAlignment="1" applyProtection="1">
      <alignment horizontal="center"/>
    </xf>
    <xf numFmtId="0" fontId="15" fillId="0" borderId="0" xfId="0" applyFont="1" applyAlignment="1" applyProtection="1">
      <alignment horizontal="center"/>
    </xf>
    <xf numFmtId="0" fontId="10" fillId="0" borderId="0" xfId="0" applyFont="1" applyFill="1" applyBorder="1" applyAlignment="1" applyProtection="1">
      <alignment horizontal="center"/>
    </xf>
    <xf numFmtId="0" fontId="11" fillId="9" borderId="0" xfId="0" applyFont="1" applyFill="1"/>
    <xf numFmtId="0" fontId="0" fillId="12" borderId="16" xfId="0" applyFont="1" applyFill="1" applyBorder="1" applyAlignment="1">
      <alignment horizontal="right"/>
    </xf>
    <xf numFmtId="0" fontId="20" fillId="0" borderId="0" xfId="0" applyFont="1"/>
    <xf numFmtId="0" fontId="10" fillId="0" borderId="0" xfId="0" applyFont="1" applyAlignment="1">
      <alignment horizontal="center"/>
    </xf>
    <xf numFmtId="0" fontId="21" fillId="6" borderId="0" xfId="0" applyFont="1" applyFill="1"/>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horizontal="center"/>
    </xf>
    <xf numFmtId="0" fontId="0" fillId="0" borderId="0" xfId="0" applyAlignment="1">
      <alignment horizontal="center"/>
    </xf>
    <xf numFmtId="0" fontId="11" fillId="17" borderId="0" xfId="0" applyFont="1" applyFill="1" applyAlignment="1">
      <alignment horizontal="center"/>
    </xf>
  </cellXfs>
  <cellStyles count="13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1" builtinId="9" hidden="1"/>
    <cellStyle name="Hipervínculo visitado" xfId="92" builtinId="9" hidden="1"/>
    <cellStyle name="Hipervínculo visitado" xfId="93" builtinId="9" hidden="1"/>
    <cellStyle name="Hipervínculo visitado" xfId="94" builtinId="9" hidden="1"/>
    <cellStyle name="Hipervínculo visitado" xfId="95" builtinId="9" hidden="1"/>
    <cellStyle name="Hipervínculo visitado" xfId="96" builtinId="9" hidden="1"/>
    <cellStyle name="Hipervínculo visitado" xfId="97" builtinId="9" hidden="1"/>
    <cellStyle name="Hipervínculo visitado" xfId="98"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5" builtinId="9" hidden="1"/>
    <cellStyle name="Hipervínculo visitado" xfId="126" builtinId="9" hidden="1"/>
    <cellStyle name="Hipervínculo visitado" xfId="127" builtinId="9" hidden="1"/>
    <cellStyle name="Hipervínculo visitado" xfId="128" builtinId="9" hidden="1"/>
    <cellStyle name="Hipervínculo visitado" xfId="129" builtinId="9" hidden="1"/>
    <cellStyle name="Hipervínculo visitado" xfId="130" builtinId="9" hidden="1"/>
    <cellStyle name="Hipervínculo visitado" xfId="131" builtinId="9" hidden="1"/>
    <cellStyle name="Hipervínculo visitado" xfId="132" builtinId="9" hidden="1"/>
    <cellStyle name="Hipervínculo visitado" xfId="133" builtinId="9" hidden="1"/>
    <cellStyle name="Millares" xfId="38"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doughnutChart>
        <c:varyColors val="1"/>
        <c:ser>
          <c:idx val="0"/>
          <c:order val="0"/>
          <c:tx>
            <c:strRef>
              <c:f>Resumen!$L$27</c:f>
              <c:strCache>
                <c:ptCount val="1"/>
                <c:pt idx="0">
                  <c:v>2015</c:v>
                </c:pt>
              </c:strCache>
            </c:strRef>
          </c:tx>
          <c:cat>
            <c:strRef>
              <c:f>Resumen!$K$28:$K$33</c:f>
              <c:strCache>
                <c:ptCount val="6"/>
                <c:pt idx="0">
                  <c:v>1. RESULTADOS INVESTIGACIÓN CONSOLIDADOS</c:v>
                </c:pt>
                <c:pt idx="1">
                  <c:v>2. ACCIONES DE I+D+i  Y CAPTACIÓN DE RECURSOS</c:v>
                </c:pt>
                <c:pt idx="2">
                  <c:v>3. RESULTADOS PRODUCCIÓN CIENTÍFICA</c:v>
                </c:pt>
                <c:pt idx="3">
                  <c:v>4. ACCIONES DE TRASFERENCIA DEL CONOCIMIENTO</c:v>
                </c:pt>
                <c:pt idx="4">
                  <c:v>5. RESULTADOS DE LA CREACIÓN ARTÍSTICA</c:v>
                </c:pt>
                <c:pt idx="5">
                  <c:v>6. OTROS MÉRITOS</c:v>
                </c:pt>
              </c:strCache>
            </c:strRef>
          </c:cat>
          <c:val>
            <c:numRef>
              <c:f>Resumen!$L$28:$L$33</c:f>
              <c:numCache>
                <c:formatCode>0%</c:formatCode>
                <c:ptCount val="6"/>
                <c:pt idx="0">
                  <c:v>0</c:v>
                </c:pt>
                <c:pt idx="1">
                  <c:v>0</c:v>
                </c:pt>
                <c:pt idx="2">
                  <c:v>0</c:v>
                </c:pt>
                <c:pt idx="3">
                  <c:v>0</c:v>
                </c:pt>
                <c:pt idx="4">
                  <c:v>0</c:v>
                </c:pt>
                <c:pt idx="5">
                  <c:v>0</c:v>
                </c:pt>
              </c:numCache>
            </c:numRef>
          </c:val>
        </c:ser>
        <c:ser>
          <c:idx val="1"/>
          <c:order val="1"/>
          <c:tx>
            <c:strRef>
              <c:f>Resumen!$M$27</c:f>
              <c:strCache>
                <c:ptCount val="1"/>
                <c:pt idx="0">
                  <c:v>2014</c:v>
                </c:pt>
              </c:strCache>
            </c:strRef>
          </c:tx>
          <c:cat>
            <c:strRef>
              <c:f>Resumen!$K$28:$K$33</c:f>
              <c:strCache>
                <c:ptCount val="6"/>
                <c:pt idx="0">
                  <c:v>1. RESULTADOS INVESTIGACIÓN CONSOLIDADOS</c:v>
                </c:pt>
                <c:pt idx="1">
                  <c:v>2. ACCIONES DE I+D+i  Y CAPTACIÓN DE RECURSOS</c:v>
                </c:pt>
                <c:pt idx="2">
                  <c:v>3. RESULTADOS PRODUCCIÓN CIENTÍFICA</c:v>
                </c:pt>
                <c:pt idx="3">
                  <c:v>4. ACCIONES DE TRASFERENCIA DEL CONOCIMIENTO</c:v>
                </c:pt>
                <c:pt idx="4">
                  <c:v>5. RESULTADOS DE LA CREACIÓN ARTÍSTICA</c:v>
                </c:pt>
                <c:pt idx="5">
                  <c:v>6. OTROS MÉRITOS</c:v>
                </c:pt>
              </c:strCache>
            </c:strRef>
          </c:cat>
          <c:val>
            <c:numRef>
              <c:f>Resumen!$M$28:$M$33</c:f>
              <c:numCache>
                <c:formatCode>0%</c:formatCode>
                <c:ptCount val="6"/>
                <c:pt idx="0">
                  <c:v>0</c:v>
                </c:pt>
                <c:pt idx="1">
                  <c:v>0</c:v>
                </c:pt>
                <c:pt idx="2">
                  <c:v>0</c:v>
                </c:pt>
                <c:pt idx="3">
                  <c:v>0</c:v>
                </c:pt>
                <c:pt idx="4">
                  <c:v>0</c:v>
                </c:pt>
                <c:pt idx="5">
                  <c:v>0</c:v>
                </c:pt>
              </c:numCache>
            </c:numRef>
          </c:val>
        </c:ser>
        <c:ser>
          <c:idx val="2"/>
          <c:order val="2"/>
          <c:tx>
            <c:strRef>
              <c:f>Resumen!$N$27</c:f>
              <c:strCache>
                <c:ptCount val="1"/>
                <c:pt idx="0">
                  <c:v>2013</c:v>
                </c:pt>
              </c:strCache>
            </c:strRef>
          </c:tx>
          <c:cat>
            <c:strRef>
              <c:f>Resumen!$K$28:$K$33</c:f>
              <c:strCache>
                <c:ptCount val="6"/>
                <c:pt idx="0">
                  <c:v>1. RESULTADOS INVESTIGACIÓN CONSOLIDADOS</c:v>
                </c:pt>
                <c:pt idx="1">
                  <c:v>2. ACCIONES DE I+D+i  Y CAPTACIÓN DE RECURSOS</c:v>
                </c:pt>
                <c:pt idx="2">
                  <c:v>3. RESULTADOS PRODUCCIÓN CIENTÍFICA</c:v>
                </c:pt>
                <c:pt idx="3">
                  <c:v>4. ACCIONES DE TRASFERENCIA DEL CONOCIMIENTO</c:v>
                </c:pt>
                <c:pt idx="4">
                  <c:v>5. RESULTADOS DE LA CREACIÓN ARTÍSTICA</c:v>
                </c:pt>
                <c:pt idx="5">
                  <c:v>6. OTROS MÉRITOS</c:v>
                </c:pt>
              </c:strCache>
            </c:strRef>
          </c:cat>
          <c:val>
            <c:numRef>
              <c:f>Resumen!$N$28:$N$33</c:f>
              <c:numCache>
                <c:formatCode>0%</c:formatCode>
                <c:ptCount val="6"/>
                <c:pt idx="0">
                  <c:v>0</c:v>
                </c:pt>
                <c:pt idx="1">
                  <c:v>0</c:v>
                </c:pt>
                <c:pt idx="2">
                  <c:v>0</c:v>
                </c:pt>
                <c:pt idx="3">
                  <c:v>0</c:v>
                </c:pt>
                <c:pt idx="4">
                  <c:v>0</c:v>
                </c:pt>
                <c:pt idx="5">
                  <c:v>0</c:v>
                </c:pt>
              </c:numCache>
            </c:numRef>
          </c:val>
        </c:ser>
        <c:ser>
          <c:idx val="3"/>
          <c:order val="3"/>
          <c:tx>
            <c:strRef>
              <c:f>Resumen!$O$27</c:f>
              <c:strCache>
                <c:ptCount val="1"/>
                <c:pt idx="0">
                  <c:v>2012</c:v>
                </c:pt>
              </c:strCache>
            </c:strRef>
          </c:tx>
          <c:cat>
            <c:strRef>
              <c:f>Resumen!$K$28:$K$33</c:f>
              <c:strCache>
                <c:ptCount val="6"/>
                <c:pt idx="0">
                  <c:v>1. RESULTADOS INVESTIGACIÓN CONSOLIDADOS</c:v>
                </c:pt>
                <c:pt idx="1">
                  <c:v>2. ACCIONES DE I+D+i  Y CAPTACIÓN DE RECURSOS</c:v>
                </c:pt>
                <c:pt idx="2">
                  <c:v>3. RESULTADOS PRODUCCIÓN CIENTÍFICA</c:v>
                </c:pt>
                <c:pt idx="3">
                  <c:v>4. ACCIONES DE TRASFERENCIA DEL CONOCIMIENTO</c:v>
                </c:pt>
                <c:pt idx="4">
                  <c:v>5. RESULTADOS DE LA CREACIÓN ARTÍSTICA</c:v>
                </c:pt>
                <c:pt idx="5">
                  <c:v>6. OTROS MÉRITOS</c:v>
                </c:pt>
              </c:strCache>
            </c:strRef>
          </c:cat>
          <c:val>
            <c:numRef>
              <c:f>Resumen!$O$28:$O$33</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holeSize val="50"/>
      </c:doughnutChart>
    </c:plotArea>
    <c:legend>
      <c:legendPos val="r"/>
      <c:layout/>
      <c:overlay val="0"/>
      <c:txPr>
        <a:bodyPr/>
        <a:lstStyle/>
        <a:p>
          <a:pPr>
            <a:defRPr sz="1400"/>
          </a:pPr>
          <a:endParaRPr lang="es-ES"/>
        </a:p>
      </c:txPr>
    </c:legend>
    <c:plotVisOnly val="1"/>
    <c:dispBlanksAs val="gap"/>
    <c:showDLblsOverMax val="0"/>
  </c:chart>
  <c:printSettings>
    <c:headerFooter/>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0</xdr:colOff>
      <xdr:row>13</xdr:row>
      <xdr:rowOff>0</xdr:rowOff>
    </xdr:from>
    <xdr:to>
      <xdr:col>7</xdr:col>
      <xdr:colOff>12700</xdr:colOff>
      <xdr:row>16</xdr:row>
      <xdr:rowOff>0</xdr:rowOff>
    </xdr:to>
    <xdr:sp macro="" textlink="">
      <xdr:nvSpPr>
        <xdr:cNvPr id="2" name="Rectangle 7"/>
        <xdr:cNvSpPr>
          <a:spLocks noChangeArrowheads="1"/>
        </xdr:cNvSpPr>
      </xdr:nvSpPr>
      <xdr:spPr bwMode="auto">
        <a:xfrm>
          <a:off x="6654800" y="1282700"/>
          <a:ext cx="3340100" cy="571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19</xdr:row>
      <xdr:rowOff>12700</xdr:rowOff>
    </xdr:from>
    <xdr:to>
      <xdr:col>7</xdr:col>
      <xdr:colOff>12700</xdr:colOff>
      <xdr:row>29</xdr:row>
      <xdr:rowOff>0</xdr:rowOff>
    </xdr:to>
    <xdr:sp macro="" textlink="">
      <xdr:nvSpPr>
        <xdr:cNvPr id="3" name="Rectangle 7"/>
        <xdr:cNvSpPr>
          <a:spLocks noChangeArrowheads="1"/>
        </xdr:cNvSpPr>
      </xdr:nvSpPr>
      <xdr:spPr bwMode="auto">
        <a:xfrm>
          <a:off x="6654800" y="2425700"/>
          <a:ext cx="3340100" cy="749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30</xdr:row>
      <xdr:rowOff>0</xdr:rowOff>
    </xdr:from>
    <xdr:to>
      <xdr:col>7</xdr:col>
      <xdr:colOff>12700</xdr:colOff>
      <xdr:row>32</xdr:row>
      <xdr:rowOff>0</xdr:rowOff>
    </xdr:to>
    <xdr:sp macro="" textlink="">
      <xdr:nvSpPr>
        <xdr:cNvPr id="4" name="Rectangle 7"/>
        <xdr:cNvSpPr>
          <a:spLocks noChangeArrowheads="1"/>
        </xdr:cNvSpPr>
      </xdr:nvSpPr>
      <xdr:spPr bwMode="auto">
        <a:xfrm>
          <a:off x="6654800" y="3352800"/>
          <a:ext cx="3340100" cy="3810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37</xdr:row>
      <xdr:rowOff>0</xdr:rowOff>
    </xdr:from>
    <xdr:to>
      <xdr:col>7</xdr:col>
      <xdr:colOff>12700</xdr:colOff>
      <xdr:row>38</xdr:row>
      <xdr:rowOff>0</xdr:rowOff>
    </xdr:to>
    <xdr:sp macro="" textlink="">
      <xdr:nvSpPr>
        <xdr:cNvPr id="6" name="Rectangle 7"/>
        <xdr:cNvSpPr>
          <a:spLocks noChangeArrowheads="1"/>
        </xdr:cNvSpPr>
      </xdr:nvSpPr>
      <xdr:spPr bwMode="auto">
        <a:xfrm>
          <a:off x="6654800" y="4648200"/>
          <a:ext cx="3340100" cy="190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39</xdr:row>
      <xdr:rowOff>0</xdr:rowOff>
    </xdr:from>
    <xdr:to>
      <xdr:col>7</xdr:col>
      <xdr:colOff>12700</xdr:colOff>
      <xdr:row>40</xdr:row>
      <xdr:rowOff>12700</xdr:rowOff>
    </xdr:to>
    <xdr:sp macro="" textlink="">
      <xdr:nvSpPr>
        <xdr:cNvPr id="7" name="Rectangle 7"/>
        <xdr:cNvSpPr>
          <a:spLocks noChangeArrowheads="1"/>
        </xdr:cNvSpPr>
      </xdr:nvSpPr>
      <xdr:spPr bwMode="auto">
        <a:xfrm>
          <a:off x="6654800" y="5016500"/>
          <a:ext cx="3340100" cy="203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34</xdr:row>
      <xdr:rowOff>0</xdr:rowOff>
    </xdr:from>
    <xdr:to>
      <xdr:col>7</xdr:col>
      <xdr:colOff>12700</xdr:colOff>
      <xdr:row>36</xdr:row>
      <xdr:rowOff>0</xdr:rowOff>
    </xdr:to>
    <xdr:sp macro="" textlink="">
      <xdr:nvSpPr>
        <xdr:cNvPr id="10" name="Rectangle 7"/>
        <xdr:cNvSpPr>
          <a:spLocks noChangeArrowheads="1"/>
        </xdr:cNvSpPr>
      </xdr:nvSpPr>
      <xdr:spPr bwMode="auto">
        <a:xfrm>
          <a:off x="6654800" y="3352800"/>
          <a:ext cx="3340100" cy="3810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134</xdr:row>
      <xdr:rowOff>0</xdr:rowOff>
    </xdr:from>
    <xdr:to>
      <xdr:col>7</xdr:col>
      <xdr:colOff>12700</xdr:colOff>
      <xdr:row>136</xdr:row>
      <xdr:rowOff>0</xdr:rowOff>
    </xdr:to>
    <xdr:sp macro="" textlink="">
      <xdr:nvSpPr>
        <xdr:cNvPr id="16" name="Rectangle 7"/>
        <xdr:cNvSpPr>
          <a:spLocks noChangeArrowheads="1"/>
        </xdr:cNvSpPr>
      </xdr:nvSpPr>
      <xdr:spPr bwMode="auto">
        <a:xfrm>
          <a:off x="6756400" y="4127500"/>
          <a:ext cx="3340100" cy="355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188</xdr:row>
      <xdr:rowOff>12700</xdr:rowOff>
    </xdr:from>
    <xdr:to>
      <xdr:col>7</xdr:col>
      <xdr:colOff>12700</xdr:colOff>
      <xdr:row>194</xdr:row>
      <xdr:rowOff>177800</xdr:rowOff>
    </xdr:to>
    <xdr:sp macro="" textlink="">
      <xdr:nvSpPr>
        <xdr:cNvPr id="17" name="Rectangle 7"/>
        <xdr:cNvSpPr>
          <a:spLocks noChangeArrowheads="1"/>
        </xdr:cNvSpPr>
      </xdr:nvSpPr>
      <xdr:spPr bwMode="auto">
        <a:xfrm>
          <a:off x="6756400" y="11226800"/>
          <a:ext cx="3340100" cy="1117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230</xdr:row>
      <xdr:rowOff>12700</xdr:rowOff>
    </xdr:from>
    <xdr:to>
      <xdr:col>7</xdr:col>
      <xdr:colOff>12700</xdr:colOff>
      <xdr:row>235</xdr:row>
      <xdr:rowOff>177800</xdr:rowOff>
    </xdr:to>
    <xdr:sp macro="" textlink="">
      <xdr:nvSpPr>
        <xdr:cNvPr id="18" name="Rectangle 7"/>
        <xdr:cNvSpPr>
          <a:spLocks noChangeArrowheads="1"/>
        </xdr:cNvSpPr>
      </xdr:nvSpPr>
      <xdr:spPr bwMode="auto">
        <a:xfrm>
          <a:off x="6883400" y="13855700"/>
          <a:ext cx="3340100" cy="9271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8</xdr:col>
      <xdr:colOff>127000</xdr:colOff>
      <xdr:row>7</xdr:row>
      <xdr:rowOff>12700</xdr:rowOff>
    </xdr:from>
    <xdr:to>
      <xdr:col>16</xdr:col>
      <xdr:colOff>406400</xdr:colOff>
      <xdr:row>33</xdr:row>
      <xdr:rowOff>127000</xdr:rowOff>
    </xdr:to>
    <xdr:graphicFrame macro="">
      <xdr:nvGraphicFramePr>
        <xdr:cNvPr id="15" name="Gráfico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2397110</xdr:colOff>
      <xdr:row>25</xdr:row>
      <xdr:rowOff>66343</xdr:rowOff>
    </xdr:from>
    <xdr:to>
      <xdr:col>9</xdr:col>
      <xdr:colOff>3179610</xdr:colOff>
      <xdr:row>26</xdr:row>
      <xdr:rowOff>117118</xdr:rowOff>
    </xdr:to>
    <xdr:sp macro="" textlink="">
      <xdr:nvSpPr>
        <xdr:cNvPr id="19" name="CuadroTexto 18"/>
        <xdr:cNvSpPr txBox="1"/>
      </xdr:nvSpPr>
      <xdr:spPr>
        <a:xfrm rot="19401211">
          <a:off x="2930510" y="21351543"/>
          <a:ext cx="782500" cy="24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Año XX-1</a:t>
          </a:r>
        </a:p>
      </xdr:txBody>
    </xdr:sp>
    <xdr:clientData/>
  </xdr:twoCellAnchor>
  <xdr:twoCellAnchor>
    <xdr:from>
      <xdr:col>3</xdr:col>
      <xdr:colOff>0</xdr:colOff>
      <xdr:row>41</xdr:row>
      <xdr:rowOff>0</xdr:rowOff>
    </xdr:from>
    <xdr:to>
      <xdr:col>7</xdr:col>
      <xdr:colOff>12700</xdr:colOff>
      <xdr:row>49</xdr:row>
      <xdr:rowOff>0</xdr:rowOff>
    </xdr:to>
    <xdr:sp macro="" textlink="">
      <xdr:nvSpPr>
        <xdr:cNvPr id="14" name="Rectangle 7"/>
        <xdr:cNvSpPr>
          <a:spLocks noChangeArrowheads="1"/>
        </xdr:cNvSpPr>
      </xdr:nvSpPr>
      <xdr:spPr bwMode="auto">
        <a:xfrm>
          <a:off x="7823200" y="6946900"/>
          <a:ext cx="3556000" cy="15240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52</xdr:row>
      <xdr:rowOff>0</xdr:rowOff>
    </xdr:from>
    <xdr:to>
      <xdr:col>7</xdr:col>
      <xdr:colOff>12700</xdr:colOff>
      <xdr:row>59</xdr:row>
      <xdr:rowOff>12700</xdr:rowOff>
    </xdr:to>
    <xdr:sp macro="" textlink="">
      <xdr:nvSpPr>
        <xdr:cNvPr id="20" name="Rectangle 7"/>
        <xdr:cNvSpPr>
          <a:spLocks noChangeArrowheads="1"/>
        </xdr:cNvSpPr>
      </xdr:nvSpPr>
      <xdr:spPr bwMode="auto">
        <a:xfrm>
          <a:off x="7823200" y="90551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60</xdr:row>
      <xdr:rowOff>0</xdr:rowOff>
    </xdr:from>
    <xdr:to>
      <xdr:col>7</xdr:col>
      <xdr:colOff>12700</xdr:colOff>
      <xdr:row>67</xdr:row>
      <xdr:rowOff>12700</xdr:rowOff>
    </xdr:to>
    <xdr:sp macro="" textlink="">
      <xdr:nvSpPr>
        <xdr:cNvPr id="24" name="Rectangle 7"/>
        <xdr:cNvSpPr>
          <a:spLocks noChangeArrowheads="1"/>
        </xdr:cNvSpPr>
      </xdr:nvSpPr>
      <xdr:spPr bwMode="auto">
        <a:xfrm>
          <a:off x="7823200" y="90551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68</xdr:row>
      <xdr:rowOff>0</xdr:rowOff>
    </xdr:from>
    <xdr:to>
      <xdr:col>7</xdr:col>
      <xdr:colOff>12700</xdr:colOff>
      <xdr:row>75</xdr:row>
      <xdr:rowOff>12700</xdr:rowOff>
    </xdr:to>
    <xdr:sp macro="" textlink="">
      <xdr:nvSpPr>
        <xdr:cNvPr id="26" name="Rectangle 7"/>
        <xdr:cNvSpPr>
          <a:spLocks noChangeArrowheads="1"/>
        </xdr:cNvSpPr>
      </xdr:nvSpPr>
      <xdr:spPr bwMode="auto">
        <a:xfrm>
          <a:off x="7823200" y="105791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76</xdr:row>
      <xdr:rowOff>0</xdr:rowOff>
    </xdr:from>
    <xdr:to>
      <xdr:col>7</xdr:col>
      <xdr:colOff>12700</xdr:colOff>
      <xdr:row>83</xdr:row>
      <xdr:rowOff>12700</xdr:rowOff>
    </xdr:to>
    <xdr:sp macro="" textlink="">
      <xdr:nvSpPr>
        <xdr:cNvPr id="27" name="Rectangle 7"/>
        <xdr:cNvSpPr>
          <a:spLocks noChangeArrowheads="1"/>
        </xdr:cNvSpPr>
      </xdr:nvSpPr>
      <xdr:spPr bwMode="auto">
        <a:xfrm>
          <a:off x="7823200" y="105791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85</xdr:row>
      <xdr:rowOff>0</xdr:rowOff>
    </xdr:from>
    <xdr:to>
      <xdr:col>7</xdr:col>
      <xdr:colOff>12700</xdr:colOff>
      <xdr:row>92</xdr:row>
      <xdr:rowOff>12700</xdr:rowOff>
    </xdr:to>
    <xdr:sp macro="" textlink="">
      <xdr:nvSpPr>
        <xdr:cNvPr id="28" name="Rectangle 7"/>
        <xdr:cNvSpPr>
          <a:spLocks noChangeArrowheads="1"/>
        </xdr:cNvSpPr>
      </xdr:nvSpPr>
      <xdr:spPr bwMode="auto">
        <a:xfrm>
          <a:off x="7823200" y="121031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93</xdr:row>
      <xdr:rowOff>0</xdr:rowOff>
    </xdr:from>
    <xdr:to>
      <xdr:col>7</xdr:col>
      <xdr:colOff>12700</xdr:colOff>
      <xdr:row>100</xdr:row>
      <xdr:rowOff>0</xdr:rowOff>
    </xdr:to>
    <xdr:sp macro="" textlink="">
      <xdr:nvSpPr>
        <xdr:cNvPr id="29" name="Rectangle 7"/>
        <xdr:cNvSpPr>
          <a:spLocks noChangeArrowheads="1"/>
        </xdr:cNvSpPr>
      </xdr:nvSpPr>
      <xdr:spPr bwMode="auto">
        <a:xfrm>
          <a:off x="7823200" y="168656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102</xdr:row>
      <xdr:rowOff>0</xdr:rowOff>
    </xdr:from>
    <xdr:to>
      <xdr:col>7</xdr:col>
      <xdr:colOff>12700</xdr:colOff>
      <xdr:row>109</xdr:row>
      <xdr:rowOff>0</xdr:rowOff>
    </xdr:to>
    <xdr:sp macro="" textlink="">
      <xdr:nvSpPr>
        <xdr:cNvPr id="32" name="Rectangle 7"/>
        <xdr:cNvSpPr>
          <a:spLocks noChangeArrowheads="1"/>
        </xdr:cNvSpPr>
      </xdr:nvSpPr>
      <xdr:spPr bwMode="auto">
        <a:xfrm>
          <a:off x="7823200" y="16865600"/>
          <a:ext cx="3556000" cy="1333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110</xdr:row>
      <xdr:rowOff>0</xdr:rowOff>
    </xdr:from>
    <xdr:to>
      <xdr:col>7</xdr:col>
      <xdr:colOff>12700</xdr:colOff>
      <xdr:row>117</xdr:row>
      <xdr:rowOff>0</xdr:rowOff>
    </xdr:to>
    <xdr:sp macro="" textlink="">
      <xdr:nvSpPr>
        <xdr:cNvPr id="36" name="Rectangle 7"/>
        <xdr:cNvSpPr>
          <a:spLocks noChangeArrowheads="1"/>
        </xdr:cNvSpPr>
      </xdr:nvSpPr>
      <xdr:spPr bwMode="auto">
        <a:xfrm>
          <a:off x="7823200" y="18580100"/>
          <a:ext cx="3556000" cy="1333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118</xdr:row>
      <xdr:rowOff>0</xdr:rowOff>
    </xdr:from>
    <xdr:to>
      <xdr:col>7</xdr:col>
      <xdr:colOff>12700</xdr:colOff>
      <xdr:row>125</xdr:row>
      <xdr:rowOff>0</xdr:rowOff>
    </xdr:to>
    <xdr:sp macro="" textlink="">
      <xdr:nvSpPr>
        <xdr:cNvPr id="37" name="Rectangle 7"/>
        <xdr:cNvSpPr>
          <a:spLocks noChangeArrowheads="1"/>
        </xdr:cNvSpPr>
      </xdr:nvSpPr>
      <xdr:spPr bwMode="auto">
        <a:xfrm>
          <a:off x="7823200" y="18580100"/>
          <a:ext cx="3556000" cy="1333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126</xdr:row>
      <xdr:rowOff>0</xdr:rowOff>
    </xdr:from>
    <xdr:to>
      <xdr:col>7</xdr:col>
      <xdr:colOff>12700</xdr:colOff>
      <xdr:row>133</xdr:row>
      <xdr:rowOff>0</xdr:rowOff>
    </xdr:to>
    <xdr:sp macro="" textlink="">
      <xdr:nvSpPr>
        <xdr:cNvPr id="38" name="Rectangle 7"/>
        <xdr:cNvSpPr>
          <a:spLocks noChangeArrowheads="1"/>
        </xdr:cNvSpPr>
      </xdr:nvSpPr>
      <xdr:spPr bwMode="auto">
        <a:xfrm>
          <a:off x="7823200" y="18580100"/>
          <a:ext cx="3556000" cy="1333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139</xdr:row>
      <xdr:rowOff>0</xdr:rowOff>
    </xdr:from>
    <xdr:to>
      <xdr:col>7</xdr:col>
      <xdr:colOff>12700</xdr:colOff>
      <xdr:row>146</xdr:row>
      <xdr:rowOff>0</xdr:rowOff>
    </xdr:to>
    <xdr:sp macro="" textlink="">
      <xdr:nvSpPr>
        <xdr:cNvPr id="25" name="Rectangle 7"/>
        <xdr:cNvSpPr>
          <a:spLocks noChangeArrowheads="1"/>
        </xdr:cNvSpPr>
      </xdr:nvSpPr>
      <xdr:spPr bwMode="auto">
        <a:xfrm>
          <a:off x="7823200" y="232537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147</xdr:row>
      <xdr:rowOff>0</xdr:rowOff>
    </xdr:from>
    <xdr:to>
      <xdr:col>7</xdr:col>
      <xdr:colOff>12700</xdr:colOff>
      <xdr:row>154</xdr:row>
      <xdr:rowOff>0</xdr:rowOff>
    </xdr:to>
    <xdr:sp macro="" textlink="">
      <xdr:nvSpPr>
        <xdr:cNvPr id="30" name="Rectangle 7"/>
        <xdr:cNvSpPr>
          <a:spLocks noChangeArrowheads="1"/>
        </xdr:cNvSpPr>
      </xdr:nvSpPr>
      <xdr:spPr bwMode="auto">
        <a:xfrm>
          <a:off x="7823200" y="232537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155</xdr:row>
      <xdr:rowOff>0</xdr:rowOff>
    </xdr:from>
    <xdr:to>
      <xdr:col>7</xdr:col>
      <xdr:colOff>12700</xdr:colOff>
      <xdr:row>162</xdr:row>
      <xdr:rowOff>0</xdr:rowOff>
    </xdr:to>
    <xdr:sp macro="" textlink="">
      <xdr:nvSpPr>
        <xdr:cNvPr id="31" name="Rectangle 7"/>
        <xdr:cNvSpPr>
          <a:spLocks noChangeArrowheads="1"/>
        </xdr:cNvSpPr>
      </xdr:nvSpPr>
      <xdr:spPr bwMode="auto">
        <a:xfrm>
          <a:off x="7823200" y="232537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163</xdr:row>
      <xdr:rowOff>0</xdr:rowOff>
    </xdr:from>
    <xdr:to>
      <xdr:col>7</xdr:col>
      <xdr:colOff>12700</xdr:colOff>
      <xdr:row>170</xdr:row>
      <xdr:rowOff>0</xdr:rowOff>
    </xdr:to>
    <xdr:sp macro="" textlink="">
      <xdr:nvSpPr>
        <xdr:cNvPr id="33" name="Rectangle 7"/>
        <xdr:cNvSpPr>
          <a:spLocks noChangeArrowheads="1"/>
        </xdr:cNvSpPr>
      </xdr:nvSpPr>
      <xdr:spPr bwMode="auto">
        <a:xfrm>
          <a:off x="7823200" y="232537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171</xdr:row>
      <xdr:rowOff>0</xdr:rowOff>
    </xdr:from>
    <xdr:to>
      <xdr:col>7</xdr:col>
      <xdr:colOff>12700</xdr:colOff>
      <xdr:row>178</xdr:row>
      <xdr:rowOff>0</xdr:rowOff>
    </xdr:to>
    <xdr:sp macro="" textlink="">
      <xdr:nvSpPr>
        <xdr:cNvPr id="34" name="Rectangle 7"/>
        <xdr:cNvSpPr>
          <a:spLocks noChangeArrowheads="1"/>
        </xdr:cNvSpPr>
      </xdr:nvSpPr>
      <xdr:spPr bwMode="auto">
        <a:xfrm>
          <a:off x="7823200" y="232537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179</xdr:row>
      <xdr:rowOff>0</xdr:rowOff>
    </xdr:from>
    <xdr:to>
      <xdr:col>7</xdr:col>
      <xdr:colOff>12700</xdr:colOff>
      <xdr:row>186</xdr:row>
      <xdr:rowOff>0</xdr:rowOff>
    </xdr:to>
    <xdr:sp macro="" textlink="">
      <xdr:nvSpPr>
        <xdr:cNvPr id="35" name="Rectangle 7"/>
        <xdr:cNvSpPr>
          <a:spLocks noChangeArrowheads="1"/>
        </xdr:cNvSpPr>
      </xdr:nvSpPr>
      <xdr:spPr bwMode="auto">
        <a:xfrm>
          <a:off x="7823200" y="232537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197</xdr:row>
      <xdr:rowOff>0</xdr:rowOff>
    </xdr:from>
    <xdr:to>
      <xdr:col>7</xdr:col>
      <xdr:colOff>12700</xdr:colOff>
      <xdr:row>204</xdr:row>
      <xdr:rowOff>0</xdr:rowOff>
    </xdr:to>
    <xdr:sp macro="" textlink="">
      <xdr:nvSpPr>
        <xdr:cNvPr id="39" name="Rectangle 7"/>
        <xdr:cNvSpPr>
          <a:spLocks noChangeArrowheads="1"/>
        </xdr:cNvSpPr>
      </xdr:nvSpPr>
      <xdr:spPr bwMode="auto">
        <a:xfrm>
          <a:off x="7823200" y="335153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205</xdr:row>
      <xdr:rowOff>0</xdr:rowOff>
    </xdr:from>
    <xdr:to>
      <xdr:col>7</xdr:col>
      <xdr:colOff>12700</xdr:colOff>
      <xdr:row>212</xdr:row>
      <xdr:rowOff>0</xdr:rowOff>
    </xdr:to>
    <xdr:sp macro="" textlink="">
      <xdr:nvSpPr>
        <xdr:cNvPr id="40" name="Rectangle 7"/>
        <xdr:cNvSpPr>
          <a:spLocks noChangeArrowheads="1"/>
        </xdr:cNvSpPr>
      </xdr:nvSpPr>
      <xdr:spPr bwMode="auto">
        <a:xfrm>
          <a:off x="7823200" y="335153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213</xdr:row>
      <xdr:rowOff>0</xdr:rowOff>
    </xdr:from>
    <xdr:to>
      <xdr:col>7</xdr:col>
      <xdr:colOff>12700</xdr:colOff>
      <xdr:row>220</xdr:row>
      <xdr:rowOff>0</xdr:rowOff>
    </xdr:to>
    <xdr:sp macro="" textlink="">
      <xdr:nvSpPr>
        <xdr:cNvPr id="41" name="Rectangle 7"/>
        <xdr:cNvSpPr>
          <a:spLocks noChangeArrowheads="1"/>
        </xdr:cNvSpPr>
      </xdr:nvSpPr>
      <xdr:spPr bwMode="auto">
        <a:xfrm>
          <a:off x="7823200" y="335153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xdr:from>
      <xdr:col>3</xdr:col>
      <xdr:colOff>0</xdr:colOff>
      <xdr:row>221</xdr:row>
      <xdr:rowOff>0</xdr:rowOff>
    </xdr:from>
    <xdr:to>
      <xdr:col>7</xdr:col>
      <xdr:colOff>12700</xdr:colOff>
      <xdr:row>228</xdr:row>
      <xdr:rowOff>0</xdr:rowOff>
    </xdr:to>
    <xdr:sp macro="" textlink="">
      <xdr:nvSpPr>
        <xdr:cNvPr id="43" name="Rectangle 7"/>
        <xdr:cNvSpPr>
          <a:spLocks noChangeArrowheads="1"/>
        </xdr:cNvSpPr>
      </xdr:nvSpPr>
      <xdr:spPr bwMode="auto">
        <a:xfrm>
          <a:off x="7823200" y="40081200"/>
          <a:ext cx="3556000" cy="134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rtlCol="0"/>
        <a:lstStyle/>
        <a:p>
          <a:pPr algn="ctr"/>
          <a:endParaRPr lang="es-ES"/>
        </a:p>
      </xdr:txBody>
    </xdr:sp>
    <xdr:clientData/>
  </xdr:twoCellAnchor>
  <xdr:twoCellAnchor editAs="oneCell">
    <xdr:from>
      <xdr:col>1</xdr:col>
      <xdr:colOff>2743200</xdr:colOff>
      <xdr:row>0</xdr:row>
      <xdr:rowOff>0</xdr:rowOff>
    </xdr:from>
    <xdr:to>
      <xdr:col>1</xdr:col>
      <xdr:colOff>3392496</xdr:colOff>
      <xdr:row>3</xdr:row>
      <xdr:rowOff>120650</xdr:rowOff>
    </xdr:to>
    <xdr:pic>
      <xdr:nvPicPr>
        <xdr:cNvPr id="5"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9925" y="0"/>
          <a:ext cx="649296" cy="69215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0.39758</cdr:x>
      <cdr:y>0.69097</cdr:y>
    </cdr:from>
    <cdr:to>
      <cdr:x>0.52193</cdr:x>
      <cdr:y>0.75118</cdr:y>
    </cdr:to>
    <cdr:sp macro="" textlink="">
      <cdr:nvSpPr>
        <cdr:cNvPr id="2" name="CuadroTexto 1"/>
        <cdr:cNvSpPr txBox="1"/>
      </cdr:nvSpPr>
      <cdr:spPr>
        <a:xfrm xmlns:a="http://schemas.openxmlformats.org/drawingml/2006/main" rot="19401211">
          <a:off x="2501900" y="2768600"/>
          <a:ext cx="782500" cy="2412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b="1"/>
            <a:t>Año XX-2</a:t>
          </a:r>
        </a:p>
      </cdr:txBody>
    </cdr:sp>
  </cdr:relSizeAnchor>
  <cdr:relSizeAnchor xmlns:cdr="http://schemas.openxmlformats.org/drawingml/2006/chartDrawing">
    <cdr:from>
      <cdr:x>0.41776</cdr:x>
      <cdr:y>0.74802</cdr:y>
    </cdr:from>
    <cdr:to>
      <cdr:x>0.54211</cdr:x>
      <cdr:y>0.80823</cdr:y>
    </cdr:to>
    <cdr:sp macro="" textlink="">
      <cdr:nvSpPr>
        <cdr:cNvPr id="3" name="CuadroTexto 2"/>
        <cdr:cNvSpPr txBox="1"/>
      </cdr:nvSpPr>
      <cdr:spPr>
        <a:xfrm xmlns:a="http://schemas.openxmlformats.org/drawingml/2006/main" rot="19401211">
          <a:off x="2628900" y="2997199"/>
          <a:ext cx="782500" cy="2412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b="1"/>
            <a:t>Año XX-3</a:t>
          </a:r>
        </a:p>
      </cdr:txBody>
    </cdr:sp>
  </cdr:relSizeAnchor>
  <cdr:relSizeAnchor xmlns:cdr="http://schemas.openxmlformats.org/drawingml/2006/chartDrawing">
    <cdr:from>
      <cdr:x>0.43794</cdr:x>
      <cdr:y>0.80824</cdr:y>
    </cdr:from>
    <cdr:to>
      <cdr:x>0.56229</cdr:x>
      <cdr:y>0.86846</cdr:y>
    </cdr:to>
    <cdr:sp macro="" textlink="">
      <cdr:nvSpPr>
        <cdr:cNvPr id="4" name="CuadroTexto 3"/>
        <cdr:cNvSpPr txBox="1"/>
      </cdr:nvSpPr>
      <cdr:spPr>
        <a:xfrm xmlns:a="http://schemas.openxmlformats.org/drawingml/2006/main" rot="19401211">
          <a:off x="2755900" y="3238501"/>
          <a:ext cx="782500" cy="2412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b="1"/>
            <a:t>Año XX-4</a:t>
          </a:r>
        </a:p>
      </cdr:txBody>
    </cdr:sp>
  </cdr:relSizeAnchor>
  <cdr:relSizeAnchor xmlns:cdr="http://schemas.openxmlformats.org/drawingml/2006/chartDrawing">
    <cdr:from>
      <cdr:x>0.38376</cdr:x>
      <cdr:y>0.6402</cdr:y>
    </cdr:from>
    <cdr:to>
      <cdr:x>0.50811</cdr:x>
      <cdr:y>0.70041</cdr:y>
    </cdr:to>
    <cdr:sp macro="" textlink="">
      <cdr:nvSpPr>
        <cdr:cNvPr id="5" name="CuadroTexto 4"/>
        <cdr:cNvSpPr txBox="1"/>
      </cdr:nvSpPr>
      <cdr:spPr>
        <a:xfrm xmlns:a="http://schemas.openxmlformats.org/drawingml/2006/main" rot="19401211">
          <a:off x="2641600" y="3276600"/>
          <a:ext cx="855934" cy="3081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b="1"/>
            <a:t>Año XX-1</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499984740745262"/>
  </sheetPr>
  <dimension ref="A1:O241"/>
  <sheetViews>
    <sheetView tabSelected="1" topLeftCell="A13" workbookViewId="0">
      <selection activeCell="B145" sqref="B145"/>
    </sheetView>
  </sheetViews>
  <sheetFormatPr baseColWidth="10" defaultRowHeight="15"/>
  <cols>
    <col min="1" max="1" width="7" customWidth="1"/>
    <col min="2" max="2" width="89.28515625" style="46" bestFit="1" customWidth="1"/>
    <col min="3" max="3" width="9.140625" style="70" customWidth="1"/>
    <col min="4" max="4" width="12.42578125" style="70" bestFit="1" customWidth="1"/>
    <col min="5" max="7" width="11.28515625" style="70" bestFit="1" customWidth="1"/>
  </cols>
  <sheetData>
    <row r="1" spans="1:15">
      <c r="C1" s="165"/>
      <c r="D1" s="165"/>
      <c r="E1" s="165"/>
      <c r="F1" s="165"/>
      <c r="G1" s="165"/>
    </row>
    <row r="2" spans="1:15">
      <c r="C2" s="165"/>
      <c r="D2" s="165"/>
      <c r="E2" s="165"/>
      <c r="F2" s="165"/>
      <c r="G2" s="165"/>
    </row>
    <row r="3" spans="1:15">
      <c r="C3" s="165"/>
      <c r="D3" s="165"/>
      <c r="E3" s="165"/>
      <c r="F3" s="165"/>
      <c r="G3" s="165"/>
    </row>
    <row r="4" spans="1:15">
      <c r="C4" s="165"/>
      <c r="D4" s="165"/>
      <c r="E4" s="165"/>
      <c r="F4" s="165"/>
      <c r="G4" s="165"/>
    </row>
    <row r="5" spans="1:15">
      <c r="B5" s="168" t="s">
        <v>163</v>
      </c>
      <c r="C5" s="165"/>
      <c r="D5" s="165"/>
      <c r="E5" s="165"/>
      <c r="F5" s="165"/>
      <c r="G5" s="165"/>
    </row>
    <row r="6" spans="1:15">
      <c r="D6" s="171" t="s">
        <v>101</v>
      </c>
      <c r="E6" s="171"/>
      <c r="F6" s="171"/>
      <c r="G6" s="171"/>
      <c r="H6" s="1" t="s">
        <v>102</v>
      </c>
    </row>
    <row r="7" spans="1:15" ht="18.75">
      <c r="B7" s="67" t="s">
        <v>103</v>
      </c>
      <c r="D7" s="71">
        <f>N(D13)+N(D19)+N(D30)+N(D34)+N(D37)+N(D39)+N(D41)+N(D51)+N(D84)+N(D101)+N(D134)+N(D138)+N(D188)+N(D196)+N(D221)+N(D230)+N(D238)</f>
        <v>0</v>
      </c>
      <c r="E7" s="71">
        <f>N(E13)+N(E19)+N(E30)+N(E34)+N(E37)+N(E39)+N(E41)+N(E51)+N(E84)+N(E101)+N(E134)+N(E138)+N(E188)+N(E196)+N(E221)+N(E230)+N(E238)</f>
        <v>0</v>
      </c>
      <c r="F7" s="71">
        <f>N(F13)+N(F19)+N(F30)+N(F34)+N(F37)+N(F39)+N(F41)+N(F51)+N(F84)+N(F101)+N(F134)+N(F138)+N(F188)+N(F196)+N(F221)+N(F230)+N(F238)</f>
        <v>0</v>
      </c>
      <c r="G7" s="71">
        <f>N(G13)+N(G19)+N(G30)+N(G34)+N(G37)+N(G39)+N(G41)+N(G51)+N(G84)+N(G101)+N(G134)+N(G138)+N(G188)+N(G196)+N(G221)+N(G230)+N(G238)</f>
        <v>0</v>
      </c>
      <c r="H7" s="25">
        <f>SUMPRODUCT(D7:G7,D8:G8)+IF(C12&gt;0,C12*5%*SUMPRODUCT(D7:G7,D8:G8),0)</f>
        <v>0</v>
      </c>
      <c r="J7" s="46"/>
      <c r="K7" s="70"/>
      <c r="L7" s="169" t="s">
        <v>137</v>
      </c>
      <c r="M7" s="170"/>
      <c r="N7" s="170"/>
      <c r="O7" s="170"/>
    </row>
    <row r="8" spans="1:15">
      <c r="B8" s="47"/>
      <c r="C8" s="72"/>
      <c r="D8" s="72">
        <v>1</v>
      </c>
      <c r="E8" s="72">
        <v>0.75</v>
      </c>
      <c r="F8" s="72">
        <v>0.5</v>
      </c>
      <c r="G8" s="72">
        <v>0.25</v>
      </c>
      <c r="J8" s="46"/>
      <c r="K8" s="70"/>
      <c r="L8" s="106">
        <f>D10</f>
        <v>2015</v>
      </c>
      <c r="M8" s="106">
        <f>E10</f>
        <v>2014</v>
      </c>
      <c r="N8" s="106">
        <f>F10</f>
        <v>2013</v>
      </c>
      <c r="O8" s="106">
        <f>G10</f>
        <v>2012</v>
      </c>
    </row>
    <row r="9" spans="1:15" ht="15.75">
      <c r="B9" s="68" t="s">
        <v>160</v>
      </c>
      <c r="D9" s="169" t="s">
        <v>100</v>
      </c>
      <c r="E9" s="169"/>
      <c r="F9" s="169"/>
      <c r="G9" s="169"/>
      <c r="J9" s="46"/>
      <c r="K9" s="70"/>
      <c r="L9" s="107">
        <f>N(D13)</f>
        <v>0</v>
      </c>
      <c r="M9" s="107">
        <f>N(E13)</f>
        <v>0</v>
      </c>
      <c r="N9" s="107">
        <f>N(F13)</f>
        <v>0</v>
      </c>
      <c r="O9" s="107">
        <f>N(G13)</f>
        <v>0</v>
      </c>
    </row>
    <row r="10" spans="1:15" ht="15.75">
      <c r="B10" s="69"/>
      <c r="C10" s="167" t="s">
        <v>28</v>
      </c>
      <c r="D10" s="73">
        <v>2015</v>
      </c>
      <c r="E10" s="73">
        <f>D10-1</f>
        <v>2014</v>
      </c>
      <c r="F10" s="73">
        <f>E10-1</f>
        <v>2013</v>
      </c>
      <c r="G10" s="73">
        <f>F10-1</f>
        <v>2012</v>
      </c>
      <c r="J10" s="46"/>
      <c r="K10" s="70"/>
      <c r="L10" s="108">
        <f>N(D19)</f>
        <v>0</v>
      </c>
      <c r="M10" s="108">
        <f>N(E19)</f>
        <v>0</v>
      </c>
      <c r="N10" s="108">
        <f>N(F19)</f>
        <v>0</v>
      </c>
      <c r="O10" s="108">
        <f>N(G19)</f>
        <v>0</v>
      </c>
    </row>
    <row r="11" spans="1:15" s="2" customFormat="1" ht="16.5">
      <c r="A11" s="7">
        <v>1</v>
      </c>
      <c r="B11" s="51" t="s">
        <v>23</v>
      </c>
      <c r="C11" s="74"/>
      <c r="D11" s="75"/>
      <c r="E11" s="75"/>
      <c r="F11" s="75"/>
      <c r="G11" s="75"/>
      <c r="H11" s="75"/>
      <c r="J11" s="46"/>
      <c r="K11" s="70"/>
      <c r="L11" s="109">
        <f>N(D30)</f>
        <v>0</v>
      </c>
      <c r="M11" s="109">
        <f>N(E30)</f>
        <v>0</v>
      </c>
      <c r="N11" s="109">
        <f>N(F30)</f>
        <v>0</v>
      </c>
      <c r="O11" s="109">
        <f>N(G30)</f>
        <v>0</v>
      </c>
    </row>
    <row r="12" spans="1:15" s="2" customFormat="1">
      <c r="A12" s="3" t="s">
        <v>24</v>
      </c>
      <c r="B12" s="52" t="s">
        <v>25</v>
      </c>
      <c r="C12" s="76">
        <v>0</v>
      </c>
      <c r="D12" s="75"/>
      <c r="E12" s="75"/>
      <c r="F12" s="75"/>
      <c r="G12" s="75"/>
      <c r="J12" s="46"/>
      <c r="K12" s="70"/>
      <c r="L12" s="110">
        <f>N(D34)</f>
        <v>0</v>
      </c>
      <c r="M12" s="110">
        <f>N(E34)</f>
        <v>0</v>
      </c>
      <c r="N12" s="110">
        <f>N(F34)</f>
        <v>0</v>
      </c>
      <c r="O12" s="110">
        <f>N(G34)</f>
        <v>0</v>
      </c>
    </row>
    <row r="13" spans="1:15" s="2" customFormat="1">
      <c r="A13" s="3" t="s">
        <v>27</v>
      </c>
      <c r="B13" s="52" t="s">
        <v>26</v>
      </c>
      <c r="C13" s="74"/>
      <c r="D13" s="77" t="str">
        <f>IF(SUMPRODUCT($C14:$C16,D14:D16)&gt;0,SUMPRODUCT($C14:$C16,D14:D16),"")</f>
        <v/>
      </c>
      <c r="E13" s="77" t="str">
        <f t="shared" ref="E13:G13" si="0">IF(SUMPRODUCT($C14:$C16,E14:E16)&gt;0,SUMPRODUCT($C14:$C16,E14:E16),"")</f>
        <v/>
      </c>
      <c r="F13" s="77" t="str">
        <f t="shared" si="0"/>
        <v/>
      </c>
      <c r="G13" s="77" t="str">
        <f t="shared" si="0"/>
        <v/>
      </c>
      <c r="J13" s="46"/>
      <c r="K13" s="70"/>
      <c r="L13" s="110">
        <f>N(D37)</f>
        <v>0</v>
      </c>
      <c r="M13" s="110">
        <f>N(E37)</f>
        <v>0</v>
      </c>
      <c r="N13" s="110">
        <f>N(F37)</f>
        <v>0</v>
      </c>
      <c r="O13" s="110">
        <f>N(G37)</f>
        <v>0</v>
      </c>
    </row>
    <row r="14" spans="1:15" s="2" customFormat="1">
      <c r="A14" s="3" t="s">
        <v>5</v>
      </c>
      <c r="B14" s="53" t="s">
        <v>30</v>
      </c>
      <c r="C14" s="74">
        <v>15</v>
      </c>
      <c r="D14" s="78"/>
      <c r="E14" s="79"/>
      <c r="F14" s="79"/>
      <c r="G14" s="80"/>
      <c r="J14" s="46"/>
      <c r="K14" s="70"/>
      <c r="L14" s="110">
        <f>N(D39)</f>
        <v>0</v>
      </c>
      <c r="M14" s="110">
        <f>N(E39)</f>
        <v>0</v>
      </c>
      <c r="N14" s="110">
        <f>N(F39)</f>
        <v>0</v>
      </c>
      <c r="O14" s="110">
        <f>N(G39)</f>
        <v>0</v>
      </c>
    </row>
    <row r="15" spans="1:15" s="2" customFormat="1">
      <c r="A15" s="3" t="s">
        <v>6</v>
      </c>
      <c r="B15" s="52" t="s">
        <v>31</v>
      </c>
      <c r="C15" s="74">
        <v>10</v>
      </c>
      <c r="D15" s="81"/>
      <c r="E15" s="82"/>
      <c r="F15" s="82"/>
      <c r="G15" s="83"/>
      <c r="J15" s="46"/>
      <c r="K15" s="70"/>
      <c r="L15" s="111">
        <f>N(D41)</f>
        <v>0</v>
      </c>
      <c r="M15" s="111">
        <f>N(E41)</f>
        <v>0</v>
      </c>
      <c r="N15" s="111">
        <f>N(F41)</f>
        <v>0</v>
      </c>
      <c r="O15" s="111">
        <f>N(G41)</f>
        <v>0</v>
      </c>
    </row>
    <row r="16" spans="1:15" s="2" customFormat="1">
      <c r="A16" s="3" t="s">
        <v>7</v>
      </c>
      <c r="B16" s="52" t="s">
        <v>32</v>
      </c>
      <c r="C16" s="74">
        <v>5</v>
      </c>
      <c r="D16" s="84"/>
      <c r="E16" s="85"/>
      <c r="F16" s="85"/>
      <c r="G16" s="86"/>
      <c r="J16" s="46"/>
      <c r="K16" s="70"/>
      <c r="L16" s="112">
        <f>N(D51)</f>
        <v>0</v>
      </c>
      <c r="M16" s="112">
        <f>N(E51)</f>
        <v>0</v>
      </c>
      <c r="N16" s="112">
        <f>N(F51)</f>
        <v>0</v>
      </c>
      <c r="O16" s="112">
        <f>N(G51)</f>
        <v>0</v>
      </c>
    </row>
    <row r="17" spans="1:15" ht="16.5">
      <c r="A17" s="8">
        <v>2</v>
      </c>
      <c r="B17" s="54" t="s">
        <v>2</v>
      </c>
      <c r="J17" s="46"/>
      <c r="K17" s="70"/>
      <c r="L17" s="110">
        <f>N(D84)</f>
        <v>0</v>
      </c>
      <c r="M17" s="110">
        <f>N(E84)</f>
        <v>0</v>
      </c>
      <c r="N17" s="110">
        <f>N(F84)</f>
        <v>0</v>
      </c>
      <c r="O17" s="110">
        <f>N(G84)</f>
        <v>0</v>
      </c>
    </row>
    <row r="18" spans="1:15">
      <c r="A18" s="4" t="s">
        <v>0</v>
      </c>
      <c r="B18" s="55" t="s">
        <v>1</v>
      </c>
      <c r="J18" s="46"/>
      <c r="K18" s="70"/>
      <c r="L18" s="110">
        <f>N(D101)</f>
        <v>0</v>
      </c>
      <c r="M18" s="110">
        <f>N(E101)</f>
        <v>0</v>
      </c>
      <c r="N18" s="110">
        <f>N(F101)</f>
        <v>0</v>
      </c>
      <c r="O18" s="110">
        <f>N(G101)</f>
        <v>0</v>
      </c>
    </row>
    <row r="19" spans="1:15">
      <c r="A19" s="4" t="s">
        <v>3</v>
      </c>
      <c r="B19" s="55" t="s">
        <v>4</v>
      </c>
      <c r="D19" s="77" t="str">
        <f>IF(SUMPRODUCT($C20:$C29,D20:D29)&gt;0,SUMPRODUCT($C20:$C29,D20:D29),"")</f>
        <v/>
      </c>
      <c r="E19" s="77" t="str">
        <f>IF(SUMPRODUCT($C20:$C29,E20:E29)&gt;0,SUMPRODUCT($C20:$C29,E20:E29),"")</f>
        <v/>
      </c>
      <c r="F19" s="77" t="str">
        <f>IF(SUMPRODUCT($C20:$C29,F20:F29)&gt;0,SUMPRODUCT($C20:$C29,F20:F29),"")</f>
        <v/>
      </c>
      <c r="G19" s="77" t="str">
        <f>IF(SUMPRODUCT($C20:$C29,G20:G29)&gt;0,SUMPRODUCT($C20:$C29,G20:G29),"")</f>
        <v/>
      </c>
      <c r="J19" s="46"/>
      <c r="K19" s="70"/>
      <c r="L19" s="111">
        <f>N(D134)</f>
        <v>0</v>
      </c>
      <c r="M19" s="111">
        <f>N(E134)</f>
        <v>0</v>
      </c>
      <c r="N19" s="111">
        <f>N(F134)</f>
        <v>0</v>
      </c>
      <c r="O19" s="111">
        <f>N(G134)</f>
        <v>0</v>
      </c>
    </row>
    <row r="20" spans="1:15">
      <c r="A20" s="4" t="s">
        <v>5</v>
      </c>
      <c r="B20" s="56" t="s">
        <v>110</v>
      </c>
      <c r="C20" s="70">
        <v>3</v>
      </c>
      <c r="D20" s="78"/>
      <c r="E20" s="79"/>
      <c r="F20" s="79"/>
      <c r="G20" s="80"/>
      <c r="J20" s="46"/>
      <c r="K20" s="70"/>
      <c r="L20" s="112">
        <f>N(D138)</f>
        <v>0</v>
      </c>
      <c r="M20" s="112">
        <f>N(E138)</f>
        <v>0</v>
      </c>
      <c r="N20" s="112">
        <f>N(F138)</f>
        <v>0</v>
      </c>
      <c r="O20" s="112">
        <f>N(G138)</f>
        <v>0</v>
      </c>
    </row>
    <row r="21" spans="1:15">
      <c r="A21" s="4" t="s">
        <v>6</v>
      </c>
      <c r="B21" s="56" t="s">
        <v>111</v>
      </c>
      <c r="C21" s="70">
        <v>16</v>
      </c>
      <c r="D21" s="81"/>
      <c r="E21" s="82"/>
      <c r="F21" s="82"/>
      <c r="G21" s="83"/>
      <c r="J21" s="46"/>
      <c r="K21" s="70"/>
      <c r="L21" s="112">
        <f>N(D188)</f>
        <v>0</v>
      </c>
      <c r="M21" s="112">
        <f>N(E188)</f>
        <v>0</v>
      </c>
      <c r="N21" s="112">
        <f>N(F188)</f>
        <v>0</v>
      </c>
      <c r="O21" s="112">
        <f>N(G188)</f>
        <v>0</v>
      </c>
    </row>
    <row r="22" spans="1:15">
      <c r="A22" s="4" t="s">
        <v>7</v>
      </c>
      <c r="B22" s="56" t="s">
        <v>112</v>
      </c>
      <c r="C22" s="70">
        <f>C21/2</f>
        <v>8</v>
      </c>
      <c r="D22" s="81"/>
      <c r="E22" s="82"/>
      <c r="F22" s="82"/>
      <c r="G22" s="83"/>
      <c r="J22" s="46"/>
      <c r="K22" s="70"/>
      <c r="L22" s="110">
        <f>N(D196)</f>
        <v>0</v>
      </c>
      <c r="M22" s="110">
        <f>N(E196)</f>
        <v>0</v>
      </c>
      <c r="N22" s="110">
        <f>N(F196)</f>
        <v>0</v>
      </c>
      <c r="O22" s="110">
        <f>N(G196)</f>
        <v>0</v>
      </c>
    </row>
    <row r="23" spans="1:15">
      <c r="A23" s="4" t="s">
        <v>8</v>
      </c>
      <c r="B23" s="56" t="s">
        <v>113</v>
      </c>
      <c r="C23" s="70">
        <v>1</v>
      </c>
      <c r="D23" s="81"/>
      <c r="E23" s="82"/>
      <c r="F23" s="82"/>
      <c r="G23" s="83"/>
      <c r="J23" s="46"/>
      <c r="K23" s="70"/>
      <c r="L23" s="111">
        <f>N(D221)</f>
        <v>0</v>
      </c>
      <c r="M23" s="111">
        <f>N(E221)</f>
        <v>0</v>
      </c>
      <c r="N23" s="111">
        <f>N(F221)</f>
        <v>0</v>
      </c>
      <c r="O23" s="111">
        <f>N(G221)</f>
        <v>0</v>
      </c>
    </row>
    <row r="24" spans="1:15">
      <c r="A24" s="4" t="s">
        <v>60</v>
      </c>
      <c r="B24" s="56" t="s">
        <v>114</v>
      </c>
      <c r="C24" s="70">
        <v>10</v>
      </c>
      <c r="D24" s="81"/>
      <c r="E24" s="82"/>
      <c r="F24" s="82"/>
      <c r="G24" s="83"/>
      <c r="J24" s="46"/>
      <c r="K24" s="70"/>
      <c r="L24" s="112">
        <f>N(D230)</f>
        <v>0</v>
      </c>
      <c r="M24" s="112">
        <f>N(E230)</f>
        <v>0</v>
      </c>
      <c r="N24" s="112">
        <f>N(F230)</f>
        <v>0</v>
      </c>
      <c r="O24" s="112">
        <f>N(G230)</f>
        <v>0</v>
      </c>
    </row>
    <row r="25" spans="1:15">
      <c r="A25" s="4" t="s">
        <v>61</v>
      </c>
      <c r="B25" s="56" t="s">
        <v>115</v>
      </c>
      <c r="C25" s="70">
        <f>C24/2</f>
        <v>5</v>
      </c>
      <c r="D25" s="81"/>
      <c r="E25" s="82"/>
      <c r="F25" s="82"/>
      <c r="G25" s="83"/>
      <c r="J25" s="46"/>
      <c r="K25" s="70"/>
      <c r="L25" s="111">
        <f>N(D238)</f>
        <v>0</v>
      </c>
      <c r="M25" s="111">
        <f>N(E238)</f>
        <v>0</v>
      </c>
      <c r="N25" s="111">
        <f>N(F238)</f>
        <v>0</v>
      </c>
      <c r="O25" s="111">
        <f>N(G238)</f>
        <v>0</v>
      </c>
    </row>
    <row r="26" spans="1:15">
      <c r="A26" s="4" t="s">
        <v>104</v>
      </c>
      <c r="B26" s="56" t="s">
        <v>116</v>
      </c>
      <c r="C26" s="70">
        <v>5</v>
      </c>
      <c r="D26" s="81"/>
      <c r="E26" s="82"/>
      <c r="F26" s="82"/>
      <c r="G26" s="83"/>
      <c r="J26" s="46"/>
      <c r="K26" s="70"/>
      <c r="L26" s="14">
        <f>SUM(L9:L25)</f>
        <v>0</v>
      </c>
      <c r="M26" s="14">
        <f>SUM(M9:M25)</f>
        <v>0</v>
      </c>
      <c r="N26" s="14">
        <f>SUM(N9:N25)</f>
        <v>0</v>
      </c>
      <c r="O26" s="14">
        <f>SUM(O9:O25)</f>
        <v>0</v>
      </c>
    </row>
    <row r="27" spans="1:15">
      <c r="A27" s="4" t="s">
        <v>105</v>
      </c>
      <c r="B27" s="56" t="s">
        <v>117</v>
      </c>
      <c r="C27" s="70">
        <f>C26/2</f>
        <v>2.5</v>
      </c>
      <c r="D27" s="81"/>
      <c r="E27" s="82"/>
      <c r="F27" s="82"/>
      <c r="G27" s="83"/>
      <c r="J27" s="46"/>
      <c r="K27" s="70"/>
      <c r="L27" s="26">
        <f>L8</f>
        <v>2015</v>
      </c>
      <c r="M27" s="26">
        <f t="shared" ref="M27:O27" si="1">M8</f>
        <v>2014</v>
      </c>
      <c r="N27" s="26">
        <f t="shared" si="1"/>
        <v>2013</v>
      </c>
      <c r="O27" s="26">
        <f t="shared" si="1"/>
        <v>2012</v>
      </c>
    </row>
    <row r="28" spans="1:15">
      <c r="A28" s="4" t="s">
        <v>106</v>
      </c>
      <c r="B28" s="56" t="s">
        <v>162</v>
      </c>
      <c r="C28" s="70">
        <v>2</v>
      </c>
      <c r="D28" s="81"/>
      <c r="E28" s="82"/>
      <c r="F28" s="82"/>
      <c r="G28" s="83"/>
      <c r="J28" s="46"/>
      <c r="K28" s="114" t="s">
        <v>131</v>
      </c>
      <c r="L28" s="115" t="e">
        <f>L9/L26</f>
        <v>#DIV/0!</v>
      </c>
      <c r="M28" s="116" t="e">
        <f>M9/M26</f>
        <v>#DIV/0!</v>
      </c>
      <c r="N28" s="116" t="e">
        <f>N9/N26</f>
        <v>#DIV/0!</v>
      </c>
      <c r="O28" s="117" t="e">
        <f>O9/O26</f>
        <v>#DIV/0!</v>
      </c>
    </row>
    <row r="29" spans="1:15">
      <c r="A29" s="4" t="s">
        <v>107</v>
      </c>
      <c r="B29" s="56" t="s">
        <v>161</v>
      </c>
      <c r="C29" s="70">
        <f>C28/2</f>
        <v>1</v>
      </c>
      <c r="D29" s="84"/>
      <c r="E29" s="85"/>
      <c r="F29" s="85"/>
      <c r="G29" s="86"/>
      <c r="J29" s="46"/>
      <c r="K29" s="113" t="s">
        <v>132</v>
      </c>
      <c r="L29" s="118" t="e">
        <f>SUM(L10:L15)/L26</f>
        <v>#DIV/0!</v>
      </c>
      <c r="M29" s="119" t="e">
        <f>SUM(M10:M15)/M26</f>
        <v>#DIV/0!</v>
      </c>
      <c r="N29" s="119" t="e">
        <f>SUM(N10:N15)/N26</f>
        <v>#DIV/0!</v>
      </c>
      <c r="O29" s="120" t="e">
        <f>SUM(O10:O15)/O26</f>
        <v>#DIV/0!</v>
      </c>
    </row>
    <row r="30" spans="1:15">
      <c r="A30" s="4" t="s">
        <v>9</v>
      </c>
      <c r="B30" s="55" t="s">
        <v>10</v>
      </c>
      <c r="D30" s="77" t="str">
        <f>IF(SUMPRODUCT($C31:$C32,D31:D32)&gt;0,SUMPRODUCT($C31:$C32,D31:D32),"")</f>
        <v/>
      </c>
      <c r="E30" s="77" t="str">
        <f t="shared" ref="E30:G30" si="2">IF(SUMPRODUCT($C31:$C32,E31:E32)&gt;0,SUMPRODUCT($C31:$C32,E31:E32),"")</f>
        <v/>
      </c>
      <c r="F30" s="77" t="str">
        <f t="shared" si="2"/>
        <v/>
      </c>
      <c r="G30" s="77" t="str">
        <f t="shared" si="2"/>
        <v/>
      </c>
      <c r="J30" s="46"/>
      <c r="K30" s="113" t="s">
        <v>133</v>
      </c>
      <c r="L30" s="118" t="e">
        <f>SUM(L16:L19)/L26</f>
        <v>#DIV/0!</v>
      </c>
      <c r="M30" s="119" t="e">
        <f>SUM(M16:M19)/M26</f>
        <v>#DIV/0!</v>
      </c>
      <c r="N30" s="119" t="e">
        <f>SUM(N16:N19)/N26</f>
        <v>#DIV/0!</v>
      </c>
      <c r="O30" s="120" t="e">
        <f>SUM(O16:O19)/O26</f>
        <v>#DIV/0!</v>
      </c>
    </row>
    <row r="31" spans="1:15">
      <c r="A31" s="4" t="s">
        <v>5</v>
      </c>
      <c r="B31" s="56" t="s">
        <v>108</v>
      </c>
      <c r="C31" s="70">
        <v>1</v>
      </c>
      <c r="D31" s="78"/>
      <c r="E31" s="79"/>
      <c r="F31" s="79"/>
      <c r="G31" s="80"/>
      <c r="J31" s="46"/>
      <c r="K31" s="113" t="s">
        <v>134</v>
      </c>
      <c r="L31" s="118" t="e">
        <f>L20/L26</f>
        <v>#DIV/0!</v>
      </c>
      <c r="M31" s="119" t="e">
        <f>M20/M26</f>
        <v>#DIV/0!</v>
      </c>
      <c r="N31" s="119" t="e">
        <f>N20/N26</f>
        <v>#DIV/0!</v>
      </c>
      <c r="O31" s="120" t="e">
        <f>O20/O26</f>
        <v>#DIV/0!</v>
      </c>
    </row>
    <row r="32" spans="1:15">
      <c r="A32" s="4" t="s">
        <v>6</v>
      </c>
      <c r="B32" s="56" t="s">
        <v>33</v>
      </c>
      <c r="C32" s="87">
        <v>0.5</v>
      </c>
      <c r="D32" s="84"/>
      <c r="E32" s="85"/>
      <c r="F32" s="85"/>
      <c r="G32" s="86"/>
      <c r="J32" s="46"/>
      <c r="K32" s="113" t="s">
        <v>135</v>
      </c>
      <c r="L32" s="118" t="e">
        <f>SUM(L21:L23)/L26</f>
        <v>#DIV/0!</v>
      </c>
      <c r="M32" s="119" t="e">
        <f>SUM(M21:M23)/M26</f>
        <v>#DIV/0!</v>
      </c>
      <c r="N32" s="119" t="e">
        <f>SUM(N21:N23)/N26</f>
        <v>#DIV/0!</v>
      </c>
      <c r="O32" s="120" t="e">
        <f>SUM(O21:O23)/O26</f>
        <v>#DIV/0!</v>
      </c>
    </row>
    <row r="33" spans="1:15">
      <c r="A33" s="6" t="s">
        <v>11</v>
      </c>
      <c r="B33" s="57" t="s">
        <v>12</v>
      </c>
      <c r="J33" s="46"/>
      <c r="K33" s="113" t="s">
        <v>136</v>
      </c>
      <c r="L33" s="121" t="e">
        <f>SUM(L24:L25)/L26</f>
        <v>#DIV/0!</v>
      </c>
      <c r="M33" s="122" t="e">
        <f>SUM(M24:M25)/M26</f>
        <v>#DIV/0!</v>
      </c>
      <c r="N33" s="122" t="e">
        <f>SUM(N24:N25)/N26</f>
        <v>#DIV/0!</v>
      </c>
      <c r="O33" s="123" t="e">
        <f>SUM(O24:O25)/O26</f>
        <v>#DIV/0!</v>
      </c>
    </row>
    <row r="34" spans="1:15">
      <c r="A34" s="6" t="s">
        <v>13</v>
      </c>
      <c r="B34" s="166" t="s">
        <v>14</v>
      </c>
      <c r="D34" s="88" t="str">
        <f>IF(Campos!J5&gt;0,Campos!J5,"")</f>
        <v/>
      </c>
      <c r="E34" s="88" t="str">
        <f>IF(Campos!K5&gt;0,Campos!K5,"")</f>
        <v/>
      </c>
      <c r="F34" s="88" t="str">
        <f>IF(Campos!L5&gt;0,Campos!L5,"")</f>
        <v/>
      </c>
      <c r="G34" s="88" t="str">
        <f>IF(Campos!M5&gt;0,Campos!M5,"")</f>
        <v/>
      </c>
      <c r="J34" s="46"/>
      <c r="K34" s="70"/>
      <c r="L34" s="70"/>
      <c r="M34" s="70"/>
      <c r="N34" s="70"/>
      <c r="O34" s="70"/>
    </row>
    <row r="35" spans="1:15">
      <c r="A35" s="6" t="s">
        <v>5</v>
      </c>
      <c r="B35" s="58" t="s">
        <v>109</v>
      </c>
      <c r="D35" s="89"/>
      <c r="E35" s="90"/>
      <c r="F35" s="90"/>
      <c r="G35" s="91"/>
    </row>
    <row r="36" spans="1:15">
      <c r="A36" s="6" t="s">
        <v>6</v>
      </c>
      <c r="B36" s="58" t="s">
        <v>34</v>
      </c>
      <c r="D36" s="92"/>
      <c r="E36" s="93"/>
      <c r="F36" s="93"/>
      <c r="G36" s="94"/>
    </row>
    <row r="37" spans="1:15">
      <c r="A37" s="6" t="s">
        <v>38</v>
      </c>
      <c r="B37" s="57" t="s">
        <v>39</v>
      </c>
      <c r="D37" s="77" t="str">
        <f>IF(D38&gt;0,$C38*INT(D38/Der),"")</f>
        <v/>
      </c>
      <c r="E37" s="77" t="str">
        <f>IF(E38&gt;0,$C38*INT(E38/Der),"")</f>
        <v/>
      </c>
      <c r="F37" s="77" t="str">
        <f>IF(F38&gt;0,$C38*INT(F38/Der),"")</f>
        <v/>
      </c>
      <c r="G37" s="77" t="str">
        <f>IF(G38&gt;0,$C38*INT(G38/Der),"")</f>
        <v/>
      </c>
    </row>
    <row r="38" spans="1:15">
      <c r="A38" s="6" t="s">
        <v>5</v>
      </c>
      <c r="B38" s="58" t="s">
        <v>49</v>
      </c>
      <c r="C38" s="70">
        <v>1</v>
      </c>
      <c r="D38" s="95"/>
      <c r="E38" s="95"/>
      <c r="F38" s="95"/>
      <c r="G38" s="95"/>
    </row>
    <row r="39" spans="1:15">
      <c r="A39" s="6" t="s">
        <v>43</v>
      </c>
      <c r="B39" s="57" t="s">
        <v>44</v>
      </c>
      <c r="D39" s="77" t="str">
        <f>IF(D40&gt;0,IF($C40*INT(D40/DerB)&gt;4,4,$C40*INT(D40/DerB)),"")</f>
        <v/>
      </c>
      <c r="E39" s="77" t="str">
        <f>IF(E40&gt;0,IF($C40*INT(E40/DerB)&gt;4,4,$C40*INT(E40/DerB)),"")</f>
        <v/>
      </c>
      <c r="F39" s="77" t="str">
        <f>IF(F40&gt;0,IF($C40*INT(F40/DerB)&gt;4,4,$C40*INT(F40/DerB)),"")</f>
        <v/>
      </c>
      <c r="G39" s="77" t="str">
        <f>IF(G40&gt;0,IF($C40*INT(G40/DerB)&gt;4,4,$C40*INT(G40/DerB)),"")</f>
        <v/>
      </c>
      <c r="I39" s="10"/>
    </row>
    <row r="40" spans="1:15" s="129" customFormat="1" ht="15.75" thickBot="1">
      <c r="A40" s="130" t="s">
        <v>5</v>
      </c>
      <c r="B40" s="131" t="s">
        <v>40</v>
      </c>
      <c r="C40" s="128">
        <v>0.5</v>
      </c>
      <c r="D40" s="132"/>
      <c r="E40" s="132"/>
      <c r="F40" s="132"/>
      <c r="G40" s="132"/>
    </row>
    <row r="41" spans="1:15" ht="15.75" thickTop="1">
      <c r="A41" s="6" t="s">
        <v>45</v>
      </c>
      <c r="B41" s="57" t="s">
        <v>150</v>
      </c>
      <c r="D41" s="88" t="str">
        <f>IF(SUMPRODUCT($C42:$C49,D42:D49)&gt;0,SUMPRODUCT($C42:$C49,D42:D49),"")</f>
        <v/>
      </c>
      <c r="E41" s="88" t="str">
        <f t="shared" ref="E41:G41" si="3">IF(SUMPRODUCT($C42:$C49,E42:E49)&gt;0,SUMPRODUCT($C42:$C49,E42:E49),"")</f>
        <v/>
      </c>
      <c r="F41" s="88" t="str">
        <f t="shared" si="3"/>
        <v/>
      </c>
      <c r="G41" s="88" t="str">
        <f t="shared" si="3"/>
        <v/>
      </c>
    </row>
    <row r="42" spans="1:15">
      <c r="A42" s="6" t="s">
        <v>138</v>
      </c>
      <c r="B42" s="58" t="str">
        <f>"   Nº Empresas creadas de " &amp;Spin &amp;" Emprendedores como máximo"</f>
        <v xml:space="preserve">   Nº Empresas creadas de 3 Emprendedores como máximo</v>
      </c>
      <c r="C42" s="87">
        <v>14</v>
      </c>
      <c r="D42" s="146"/>
      <c r="E42" s="147"/>
      <c r="F42" s="147"/>
      <c r="G42" s="148"/>
    </row>
    <row r="43" spans="1:15">
      <c r="A43" s="6" t="s">
        <v>139</v>
      </c>
      <c r="B43" s="58" t="str">
        <f>"   Nº Empresas creadas de " &amp;Spin+1 &amp;" Emprendedores"</f>
        <v xml:space="preserve">   Nº Empresas creadas de 4 Emprendedores</v>
      </c>
      <c r="C43" s="87">
        <f>$C$42*(Spin/(Spin+1))</f>
        <v>10.5</v>
      </c>
      <c r="D43" s="149"/>
      <c r="E43" s="150"/>
      <c r="F43" s="150"/>
      <c r="G43" s="151"/>
    </row>
    <row r="44" spans="1:15">
      <c r="A44" s="6" t="s">
        <v>140</v>
      </c>
      <c r="B44" s="58" t="str">
        <f>"   Nº Empresas creadas de " &amp;Spin+2 &amp;" Emprendedores"</f>
        <v xml:space="preserve">   Nº Empresas creadas de 5 Emprendedores</v>
      </c>
      <c r="C44" s="87">
        <f>$C$42*(Spin/(Spin+2))</f>
        <v>8.4</v>
      </c>
      <c r="D44" s="149"/>
      <c r="E44" s="150"/>
      <c r="F44" s="150"/>
      <c r="G44" s="151"/>
    </row>
    <row r="45" spans="1:15">
      <c r="A45" s="6" t="s">
        <v>141</v>
      </c>
      <c r="B45" s="58" t="str">
        <f>"   Nº Empresas creadas de " &amp;Spin+3 &amp;" Emprendedores"</f>
        <v xml:space="preserve">   Nº Empresas creadas de 6 Emprendedores</v>
      </c>
      <c r="C45" s="87">
        <f>$C$42*(Spin/(Spin+3))</f>
        <v>7</v>
      </c>
      <c r="D45" s="149"/>
      <c r="E45" s="150"/>
      <c r="F45" s="150"/>
      <c r="G45" s="151"/>
    </row>
    <row r="46" spans="1:15">
      <c r="A46" s="6" t="s">
        <v>142</v>
      </c>
      <c r="B46" s="58" t="str">
        <f>"   Nº Empresas creadas de " &amp;Spin+4 &amp;" Emprendedores"</f>
        <v xml:space="preserve">   Nº Empresas creadas de 7 Emprendedores</v>
      </c>
      <c r="C46" s="87">
        <f>$C$42*(Spin/(Spin+4))</f>
        <v>6</v>
      </c>
      <c r="D46" s="149"/>
      <c r="E46" s="150"/>
      <c r="F46" s="150"/>
      <c r="G46" s="151"/>
    </row>
    <row r="47" spans="1:15">
      <c r="A47" s="6" t="s">
        <v>143</v>
      </c>
      <c r="B47" s="58" t="str">
        <f>"   Nº Empresas creadas de " &amp;Spin+5 &amp;" Emprendedores"</f>
        <v xml:space="preserve">   Nº Empresas creadas de 8 Emprendedores</v>
      </c>
      <c r="C47" s="87">
        <f>$C$42*(Spin/(Spin+5))</f>
        <v>5.25</v>
      </c>
      <c r="D47" s="149"/>
      <c r="E47" s="150"/>
      <c r="F47" s="150"/>
      <c r="G47" s="151"/>
    </row>
    <row r="48" spans="1:15">
      <c r="A48" s="6" t="s">
        <v>144</v>
      </c>
      <c r="B48" s="58" t="str">
        <f>"   Nº Empresas creadas de " &amp;Spin+6 &amp;" Emprendedores"</f>
        <v xml:space="preserve">   Nº Empresas creadas de 9 Emprendedores</v>
      </c>
      <c r="C48" s="87">
        <f>$C$42*(Spin/(Spin+6))</f>
        <v>4.6666666666666661</v>
      </c>
      <c r="D48" s="149"/>
      <c r="E48" s="150"/>
      <c r="F48" s="150"/>
      <c r="G48" s="151"/>
    </row>
    <row r="49" spans="1:7" s="129" customFormat="1" ht="15.75" thickBot="1">
      <c r="A49" s="130" t="s">
        <v>145</v>
      </c>
      <c r="B49" s="131" t="str">
        <f>"   Nº Empresas creadas de " &amp;Spin+7 &amp;" Emprendedores o más"</f>
        <v xml:space="preserve">   Nº Empresas creadas de 10 Emprendedores o más</v>
      </c>
      <c r="C49" s="135">
        <f>$C$42*(Spin/(Spin+7))</f>
        <v>4.2</v>
      </c>
      <c r="D49" s="152"/>
      <c r="E49" s="153"/>
      <c r="F49" s="153"/>
      <c r="G49" s="154"/>
    </row>
    <row r="50" spans="1:7" ht="17.25" thickTop="1">
      <c r="A50" s="133">
        <v>3</v>
      </c>
      <c r="B50" s="134" t="s">
        <v>47</v>
      </c>
      <c r="C50" s="74"/>
      <c r="D50" s="96"/>
      <c r="E50" s="96"/>
      <c r="F50" s="96"/>
      <c r="G50" s="96"/>
    </row>
    <row r="51" spans="1:7">
      <c r="A51" s="15" t="s">
        <v>46</v>
      </c>
      <c r="B51" s="125" t="s">
        <v>151</v>
      </c>
      <c r="C51" s="74"/>
      <c r="D51" s="88" t="str">
        <f>IF((N(D52)+N(D60)+N(D68)+N(D76))&gt;0,N(D52)+N(D60)+N(D68)+N(D76),"")</f>
        <v/>
      </c>
      <c r="E51" s="88" t="str">
        <f t="shared" ref="E51:G51" si="4">IF((N(E52)+N(E60)+N(E68)+N(E76))&gt;0,N(E52)+N(E60)+N(E68)+N(E76),"")</f>
        <v/>
      </c>
      <c r="F51" s="88" t="str">
        <f t="shared" si="4"/>
        <v/>
      </c>
      <c r="G51" s="88" t="str">
        <f t="shared" si="4"/>
        <v/>
      </c>
    </row>
    <row r="52" spans="1:7">
      <c r="A52" s="15" t="s">
        <v>5</v>
      </c>
      <c r="B52" s="60" t="s">
        <v>146</v>
      </c>
      <c r="D52" s="97" t="str">
        <f>IF(SUMPRODUCT($C53:$C59,D53:D59)&gt;0,SUMPRODUCT($C53:$C59,D53:D59),"")</f>
        <v/>
      </c>
      <c r="E52" s="97" t="str">
        <f t="shared" ref="E52:G52" si="5">IF(SUMPRODUCT($C53:$C59,E53:E59)&gt;0,SUMPRODUCT($C53:$C59,E53:E59),"")</f>
        <v/>
      </c>
      <c r="F52" s="97" t="str">
        <f t="shared" si="5"/>
        <v/>
      </c>
      <c r="G52" s="97" t="str">
        <f t="shared" si="5"/>
        <v/>
      </c>
    </row>
    <row r="53" spans="1:7">
      <c r="A53" s="15"/>
      <c r="B53" s="60" t="str">
        <f>"     Nº artículos de " &amp;Coau &amp;" Coautores como máximo (o Comité Editorial)"</f>
        <v xml:space="preserve">     Nº artículos de 4 Coautores como máximo (o Comité Editorial)</v>
      </c>
      <c r="C53" s="70">
        <v>10</v>
      </c>
      <c r="D53" s="146"/>
      <c r="E53" s="147"/>
      <c r="F53" s="147"/>
      <c r="G53" s="148"/>
    </row>
    <row r="54" spans="1:7">
      <c r="A54" s="15"/>
      <c r="B54" s="60" t="str">
        <f>"     Nº artículos de " &amp;Coau+1 &amp;" Coautores"</f>
        <v xml:space="preserve">     Nº artículos de 5 Coautores</v>
      </c>
      <c r="C54" s="105">
        <f>C$53*(Coau/(Coau+1))</f>
        <v>8</v>
      </c>
      <c r="D54" s="149"/>
      <c r="E54" s="150"/>
      <c r="F54" s="150"/>
      <c r="G54" s="151"/>
    </row>
    <row r="55" spans="1:7">
      <c r="A55" s="15"/>
      <c r="B55" s="60" t="str">
        <f>"     Nº artículos de " &amp;Coau+2 &amp;" Coautores"</f>
        <v xml:space="preserve">     Nº artículos de 6 Coautores</v>
      </c>
      <c r="C55" s="105">
        <f>C$53*(Coau/(Coau+2))</f>
        <v>6.6666666666666661</v>
      </c>
      <c r="D55" s="149"/>
      <c r="E55" s="150"/>
      <c r="F55" s="150"/>
      <c r="G55" s="151"/>
    </row>
    <row r="56" spans="1:7">
      <c r="A56" s="15"/>
      <c r="B56" s="60" t="str">
        <f>"     Nº artículos de " &amp;Coau+3 &amp;" Coautores"</f>
        <v xml:space="preserve">     Nº artículos de 7 Coautores</v>
      </c>
      <c r="C56" s="105">
        <f>C$53*(Coau/(Coau+3))</f>
        <v>5.7142857142857135</v>
      </c>
      <c r="D56" s="149"/>
      <c r="E56" s="150"/>
      <c r="F56" s="150"/>
      <c r="G56" s="151"/>
    </row>
    <row r="57" spans="1:7">
      <c r="A57" s="15"/>
      <c r="B57" s="60" t="str">
        <f>"     Nº artículos de " &amp;Coau+4 &amp;" Coautores"</f>
        <v xml:space="preserve">     Nº artículos de 8 Coautores</v>
      </c>
      <c r="C57" s="105">
        <f>C$53*(Coau/(Coau+4))</f>
        <v>5</v>
      </c>
      <c r="D57" s="149"/>
      <c r="E57" s="150"/>
      <c r="F57" s="150"/>
      <c r="G57" s="151"/>
    </row>
    <row r="58" spans="1:7">
      <c r="A58" s="15"/>
      <c r="B58" s="60" t="str">
        <f>"     Nº artículos de " &amp;Coau+5 &amp;" Coautores"</f>
        <v xml:space="preserve">     Nº artículos de 9 Coautores</v>
      </c>
      <c r="C58" s="105">
        <f>C$53*(Coau/(Coau+5))</f>
        <v>4.4444444444444446</v>
      </c>
      <c r="D58" s="149"/>
      <c r="E58" s="150"/>
      <c r="F58" s="150"/>
      <c r="G58" s="151"/>
    </row>
    <row r="59" spans="1:7">
      <c r="A59" s="15"/>
      <c r="B59" s="60" t="str">
        <f>"     Nº artículos de " &amp;Coau+6 &amp;" Coautores o más"</f>
        <v xml:space="preserve">     Nº artículos de 10 Coautores o más</v>
      </c>
      <c r="C59" s="105">
        <f>C$53*(Coau/(Coau+6))</f>
        <v>4</v>
      </c>
      <c r="D59" s="155"/>
      <c r="E59" s="156"/>
      <c r="F59" s="156"/>
      <c r="G59" s="157"/>
    </row>
    <row r="60" spans="1:7">
      <c r="A60" s="15" t="s">
        <v>6</v>
      </c>
      <c r="B60" s="60" t="s">
        <v>147</v>
      </c>
      <c r="C60" s="105"/>
      <c r="D60" s="158" t="str">
        <f>IF(SUMPRODUCT($C61:$C67,D61:D67)&gt;0,SUMPRODUCT($C61:$C67,D61:D67),"")</f>
        <v/>
      </c>
      <c r="E60" s="158" t="str">
        <f t="shared" ref="E60" si="6">IF(SUMPRODUCT($C61:$C67,E61:E67)&gt;0,SUMPRODUCT($C61:$C67,E61:E67),"")</f>
        <v/>
      </c>
      <c r="F60" s="158" t="str">
        <f t="shared" ref="F60" si="7">IF(SUMPRODUCT($C61:$C67,F61:F67)&gt;0,SUMPRODUCT($C61:$C67,F61:F67),"")</f>
        <v/>
      </c>
      <c r="G60" s="158" t="str">
        <f>IF(SUMPRODUCT($C61:$C67,G61:G67)&gt;0,SUMPRODUCT($C61:$C67,G61:G67),"")</f>
        <v/>
      </c>
    </row>
    <row r="61" spans="1:7">
      <c r="A61" s="15"/>
      <c r="B61" s="60" t="str">
        <f>B53</f>
        <v xml:space="preserve">     Nº artículos de 4 Coautores como máximo (o Comité Editorial)</v>
      </c>
      <c r="C61" s="105">
        <v>5</v>
      </c>
      <c r="D61" s="146"/>
      <c r="E61" s="147"/>
      <c r="F61" s="147"/>
      <c r="G61" s="148"/>
    </row>
    <row r="62" spans="1:7">
      <c r="A62" s="15"/>
      <c r="B62" s="60" t="str">
        <f t="shared" ref="B62:B67" si="8">B54</f>
        <v xml:space="preserve">     Nº artículos de 5 Coautores</v>
      </c>
      <c r="C62" s="105">
        <f>C$61*(Coau/(Coau+1))</f>
        <v>4</v>
      </c>
      <c r="D62" s="149"/>
      <c r="E62" s="150"/>
      <c r="F62" s="150"/>
      <c r="G62" s="151"/>
    </row>
    <row r="63" spans="1:7">
      <c r="A63" s="15"/>
      <c r="B63" s="60" t="str">
        <f t="shared" si="8"/>
        <v xml:space="preserve">     Nº artículos de 6 Coautores</v>
      </c>
      <c r="C63" s="105">
        <f>C$61*(Coau/(Coau+2))</f>
        <v>3.333333333333333</v>
      </c>
      <c r="D63" s="149"/>
      <c r="E63" s="150"/>
      <c r="F63" s="150"/>
      <c r="G63" s="151"/>
    </row>
    <row r="64" spans="1:7">
      <c r="A64" s="15"/>
      <c r="B64" s="60" t="str">
        <f t="shared" si="8"/>
        <v xml:space="preserve">     Nº artículos de 7 Coautores</v>
      </c>
      <c r="C64" s="105">
        <f>C$61*(Coau/(Coau+3))</f>
        <v>2.8571428571428568</v>
      </c>
      <c r="D64" s="149"/>
      <c r="E64" s="150"/>
      <c r="F64" s="150"/>
      <c r="G64" s="151"/>
    </row>
    <row r="65" spans="1:7">
      <c r="A65" s="15"/>
      <c r="B65" s="60" t="str">
        <f t="shared" si="8"/>
        <v xml:space="preserve">     Nº artículos de 8 Coautores</v>
      </c>
      <c r="C65" s="105">
        <f>C$61*(Coau/(Coau+4))</f>
        <v>2.5</v>
      </c>
      <c r="D65" s="149"/>
      <c r="E65" s="150"/>
      <c r="F65" s="150"/>
      <c r="G65" s="151"/>
    </row>
    <row r="66" spans="1:7">
      <c r="A66" s="15"/>
      <c r="B66" s="60" t="str">
        <f t="shared" si="8"/>
        <v xml:space="preserve">     Nº artículos de 9 Coautores</v>
      </c>
      <c r="C66" s="105">
        <f>C$61*(Coau/(Coau+5))</f>
        <v>2.2222222222222223</v>
      </c>
      <c r="D66" s="149"/>
      <c r="E66" s="150"/>
      <c r="F66" s="150"/>
      <c r="G66" s="151"/>
    </row>
    <row r="67" spans="1:7">
      <c r="A67" s="15"/>
      <c r="B67" s="60" t="str">
        <f t="shared" si="8"/>
        <v xml:space="preserve">     Nº artículos de 10 Coautores o más</v>
      </c>
      <c r="C67" s="105">
        <f>C$61*(Coau/(Coau+6))</f>
        <v>2</v>
      </c>
      <c r="D67" s="155"/>
      <c r="E67" s="156"/>
      <c r="F67" s="156"/>
      <c r="G67" s="157"/>
    </row>
    <row r="68" spans="1:7">
      <c r="A68" s="15" t="s">
        <v>7</v>
      </c>
      <c r="B68" s="60" t="s">
        <v>148</v>
      </c>
      <c r="D68" s="97" t="str">
        <f>IF(SUMPRODUCT($C69:$C75,D69:D75)&gt;0,SUMPRODUCT($C69:$C75,D69:D75),"")</f>
        <v/>
      </c>
      <c r="E68" s="97" t="str">
        <f t="shared" ref="E68" si="9">IF(SUMPRODUCT($C69:$C75,E69:E75)&gt;0,SUMPRODUCT($C69:$C75,E69:E75),"")</f>
        <v/>
      </c>
      <c r="F68" s="97" t="str">
        <f t="shared" ref="F68" si="10">IF(SUMPRODUCT($C69:$C75,F69:F75)&gt;0,SUMPRODUCT($C69:$C75,F69:F75),"")</f>
        <v/>
      </c>
      <c r="G68" s="97" t="str">
        <f>IF(SUMPRODUCT($C69:$C75,G69:G75)&gt;0,SUMPRODUCT($C69:$C75,G69:G75),"")</f>
        <v/>
      </c>
    </row>
    <row r="69" spans="1:7">
      <c r="A69" s="15"/>
      <c r="B69" s="60" t="str">
        <f>B61</f>
        <v xml:space="preserve">     Nº artículos de 4 Coautores como máximo (o Comité Editorial)</v>
      </c>
      <c r="C69" s="105">
        <v>2</v>
      </c>
      <c r="D69" s="146"/>
      <c r="E69" s="147"/>
      <c r="F69" s="147"/>
      <c r="G69" s="148"/>
    </row>
    <row r="70" spans="1:7">
      <c r="A70" s="15"/>
      <c r="B70" s="60" t="str">
        <f t="shared" ref="B70:B75" si="11">B62</f>
        <v xml:space="preserve">     Nº artículos de 5 Coautores</v>
      </c>
      <c r="C70" s="105">
        <f>C$69*(Coau/(Coau+1))</f>
        <v>1.6</v>
      </c>
      <c r="D70" s="149"/>
      <c r="E70" s="150"/>
      <c r="F70" s="150"/>
      <c r="G70" s="151"/>
    </row>
    <row r="71" spans="1:7">
      <c r="A71" s="15"/>
      <c r="B71" s="60" t="str">
        <f t="shared" si="11"/>
        <v xml:space="preserve">     Nº artículos de 6 Coautores</v>
      </c>
      <c r="C71" s="105">
        <f>C$69*(Coau/(Coau+2))</f>
        <v>1.3333333333333333</v>
      </c>
      <c r="D71" s="149"/>
      <c r="E71" s="150"/>
      <c r="F71" s="150"/>
      <c r="G71" s="151"/>
    </row>
    <row r="72" spans="1:7">
      <c r="A72" s="15"/>
      <c r="B72" s="60" t="str">
        <f t="shared" si="11"/>
        <v xml:space="preserve">     Nº artículos de 7 Coautores</v>
      </c>
      <c r="C72" s="105">
        <f>C$69*(Coau/(Coau+3))</f>
        <v>1.1428571428571428</v>
      </c>
      <c r="D72" s="149"/>
      <c r="E72" s="150"/>
      <c r="F72" s="150"/>
      <c r="G72" s="151"/>
    </row>
    <row r="73" spans="1:7">
      <c r="A73" s="15"/>
      <c r="B73" s="60" t="str">
        <f t="shared" si="11"/>
        <v xml:space="preserve">     Nº artículos de 8 Coautores</v>
      </c>
      <c r="C73" s="105">
        <f>C$69*(Coau/(Coau+4))</f>
        <v>1</v>
      </c>
      <c r="D73" s="149"/>
      <c r="E73" s="150"/>
      <c r="F73" s="150"/>
      <c r="G73" s="151"/>
    </row>
    <row r="74" spans="1:7">
      <c r="A74" s="15"/>
      <c r="B74" s="60" t="str">
        <f t="shared" si="11"/>
        <v xml:space="preserve">     Nº artículos de 9 Coautores</v>
      </c>
      <c r="C74" s="105">
        <f>C$69*(Coau/(Coau+5))</f>
        <v>0.88888888888888884</v>
      </c>
      <c r="D74" s="149"/>
      <c r="E74" s="150"/>
      <c r="F74" s="150"/>
      <c r="G74" s="151"/>
    </row>
    <row r="75" spans="1:7">
      <c r="A75" s="15"/>
      <c r="B75" s="60" t="str">
        <f t="shared" si="11"/>
        <v xml:space="preserve">     Nº artículos de 10 Coautores o más</v>
      </c>
      <c r="C75" s="105">
        <f>C$69*(Coau/(Coau+6))</f>
        <v>0.8</v>
      </c>
      <c r="D75" s="155"/>
      <c r="E75" s="156"/>
      <c r="F75" s="156"/>
      <c r="G75" s="157"/>
    </row>
    <row r="76" spans="1:7">
      <c r="A76" s="16" t="s">
        <v>8</v>
      </c>
      <c r="B76" s="60" t="s">
        <v>149</v>
      </c>
      <c r="D76" s="158" t="str">
        <f>IF(SUMPRODUCT($C77:$C83,D77:D83)&gt;0,SUMPRODUCT($C77:$C83,D77:D83),"")</f>
        <v/>
      </c>
      <c r="E76" s="158" t="str">
        <f t="shared" ref="E76" si="12">IF(SUMPRODUCT($C77:$C83,E77:E83)&gt;0,SUMPRODUCT($C77:$C83,E77:E83),"")</f>
        <v/>
      </c>
      <c r="F76" s="158" t="str">
        <f t="shared" ref="F76" si="13">IF(SUMPRODUCT($C77:$C83,F77:F83)&gt;0,SUMPRODUCT($C77:$C83,F77:F83),"")</f>
        <v/>
      </c>
      <c r="G76" s="158" t="str">
        <f>IF(SUMPRODUCT($C77:$C83,G77:G83)&gt;0,SUMPRODUCT($C77:$C83,G77:G83),"")</f>
        <v/>
      </c>
    </row>
    <row r="77" spans="1:7">
      <c r="A77" s="16"/>
      <c r="B77" s="60" t="str">
        <f>B69</f>
        <v xml:space="preserve">     Nº artículos de 4 Coautores como máximo (o Comité Editorial)</v>
      </c>
      <c r="C77" s="105">
        <v>1</v>
      </c>
      <c r="D77" s="146"/>
      <c r="E77" s="147"/>
      <c r="F77" s="147"/>
      <c r="G77" s="148"/>
    </row>
    <row r="78" spans="1:7">
      <c r="A78" s="16"/>
      <c r="B78" s="60" t="str">
        <f t="shared" ref="B78:B83" si="14">B70</f>
        <v xml:space="preserve">     Nº artículos de 5 Coautores</v>
      </c>
      <c r="C78" s="105">
        <f>C$77*(Coau/(Coau+1))</f>
        <v>0.8</v>
      </c>
      <c r="D78" s="149"/>
      <c r="E78" s="150"/>
      <c r="F78" s="150"/>
      <c r="G78" s="151"/>
    </row>
    <row r="79" spans="1:7">
      <c r="A79" s="16"/>
      <c r="B79" s="60" t="str">
        <f t="shared" si="14"/>
        <v xml:space="preserve">     Nº artículos de 6 Coautores</v>
      </c>
      <c r="C79" s="105">
        <f>C$77*(Coau/(Coau+2))</f>
        <v>0.66666666666666663</v>
      </c>
      <c r="D79" s="149"/>
      <c r="E79" s="150"/>
      <c r="F79" s="150"/>
      <c r="G79" s="151"/>
    </row>
    <row r="80" spans="1:7">
      <c r="A80" s="16"/>
      <c r="B80" s="60" t="str">
        <f t="shared" si="14"/>
        <v xml:space="preserve">     Nº artículos de 7 Coautores</v>
      </c>
      <c r="C80" s="105">
        <f>C$77*(Coau/(Coau+3))</f>
        <v>0.5714285714285714</v>
      </c>
      <c r="D80" s="149"/>
      <c r="E80" s="150"/>
      <c r="F80" s="150"/>
      <c r="G80" s="151"/>
    </row>
    <row r="81" spans="1:7">
      <c r="A81" s="16"/>
      <c r="B81" s="60" t="str">
        <f t="shared" si="14"/>
        <v xml:space="preserve">     Nº artículos de 8 Coautores</v>
      </c>
      <c r="C81" s="105">
        <f>C$77*(Coau/(Coau+4))</f>
        <v>0.5</v>
      </c>
      <c r="D81" s="149"/>
      <c r="E81" s="150"/>
      <c r="F81" s="150"/>
      <c r="G81" s="151"/>
    </row>
    <row r="82" spans="1:7">
      <c r="A82" s="16"/>
      <c r="B82" s="60" t="str">
        <f t="shared" si="14"/>
        <v xml:space="preserve">     Nº artículos de 9 Coautores</v>
      </c>
      <c r="C82" s="105">
        <f>C$77*(Coau/(Coau+5))</f>
        <v>0.44444444444444442</v>
      </c>
      <c r="D82" s="149"/>
      <c r="E82" s="150"/>
      <c r="F82" s="150"/>
      <c r="G82" s="151"/>
    </row>
    <row r="83" spans="1:7" s="129" customFormat="1" ht="15.75" thickBot="1">
      <c r="A83" s="136"/>
      <c r="B83" s="137" t="str">
        <f t="shared" si="14"/>
        <v xml:space="preserve">     Nº artículos de 10 Coautores o más</v>
      </c>
      <c r="C83" s="128">
        <f>C$77*(Coau/(Coau+6))</f>
        <v>0.4</v>
      </c>
      <c r="D83" s="152"/>
      <c r="E83" s="153"/>
      <c r="F83" s="153"/>
      <c r="G83" s="154"/>
    </row>
    <row r="84" spans="1:7" ht="15.75" thickTop="1">
      <c r="A84" s="17" t="s">
        <v>48</v>
      </c>
      <c r="B84" s="140" t="s">
        <v>155</v>
      </c>
      <c r="D84" s="159" t="str">
        <f>IF((N(D85)+N(D93))&gt;0,IF((N(D85)+N(D93))&gt;4,4,N(D85)+N(D93)),"")</f>
        <v/>
      </c>
      <c r="E84" s="159" t="str">
        <f t="shared" ref="E84:G84" si="15">IF((N(E85)+N(E93))&gt;0,IF((N(E85)+N(E93))&gt;4,4,N(E85)+N(E93)),"")</f>
        <v/>
      </c>
      <c r="F84" s="159" t="str">
        <f t="shared" si="15"/>
        <v/>
      </c>
      <c r="G84" s="159" t="str">
        <f t="shared" si="15"/>
        <v/>
      </c>
    </row>
    <row r="85" spans="1:7">
      <c r="A85" s="17" t="s">
        <v>5</v>
      </c>
      <c r="B85" s="61" t="s">
        <v>152</v>
      </c>
      <c r="D85" s="158" t="str">
        <f>IF(SUMPRODUCT($C86:$C92,D86:D92)&gt;0,SUMPRODUCT($C86:$C92,D86:D92),"")</f>
        <v/>
      </c>
      <c r="E85" s="158" t="str">
        <f>IF(SUMPRODUCT($C86:$C92,E86:E92)&gt;0,SUMPRODUCT($C86:$C92,E86:E92),"")</f>
        <v/>
      </c>
      <c r="F85" s="158" t="str">
        <f t="shared" ref="F85" si="16">IF(SUMPRODUCT($C86:$C92,F86:F92)&gt;0,SUMPRODUCT($C86:$C92,F86:F92),"")</f>
        <v/>
      </c>
      <c r="G85" s="158" t="str">
        <f>IF(SUMPRODUCT($C86:$C92,G86:G92)&gt;0,SUMPRODUCT($C86:$C92,G86:G92),"")</f>
        <v/>
      </c>
    </row>
    <row r="86" spans="1:7">
      <c r="A86" s="17"/>
      <c r="B86" s="61" t="str">
        <f>"     Nº Contrib. de " &amp;Coau &amp;" Coautores como máximo (o Comité Científico)"</f>
        <v xml:space="preserve">     Nº Contrib. de 4 Coautores como máximo (o Comité Científico)</v>
      </c>
      <c r="C86" s="105">
        <v>1</v>
      </c>
      <c r="D86" s="146"/>
      <c r="E86" s="147"/>
      <c r="F86" s="147"/>
      <c r="G86" s="148"/>
    </row>
    <row r="87" spans="1:7">
      <c r="A87" s="17"/>
      <c r="B87" s="61" t="str">
        <f>"     Nº Contrib de " &amp;Coau+1 &amp;" Coautores"</f>
        <v xml:space="preserve">     Nº Contrib de 5 Coautores</v>
      </c>
      <c r="C87" s="105">
        <f>C$86*(Coau/(Coau+1))</f>
        <v>0.8</v>
      </c>
      <c r="D87" s="149"/>
      <c r="E87" s="150"/>
      <c r="F87" s="150"/>
      <c r="G87" s="151"/>
    </row>
    <row r="88" spans="1:7">
      <c r="A88" s="17"/>
      <c r="B88" s="61" t="str">
        <f>"     Nº Contrib de " &amp;Coau+2 &amp;" Coautores"</f>
        <v xml:space="preserve">     Nº Contrib de 6 Coautores</v>
      </c>
      <c r="C88" s="105">
        <f>C$86*(Coau/(Coau+2))</f>
        <v>0.66666666666666663</v>
      </c>
      <c r="D88" s="149"/>
      <c r="E88" s="150"/>
      <c r="F88" s="150"/>
      <c r="G88" s="151"/>
    </row>
    <row r="89" spans="1:7">
      <c r="A89" s="17"/>
      <c r="B89" s="61" t="str">
        <f>"     Nº Contrib de " &amp;Coau+3 &amp;" Coautores"</f>
        <v xml:space="preserve">     Nº Contrib de 7 Coautores</v>
      </c>
      <c r="C89" s="105">
        <f>C$86*(Coau/(Coau+3))</f>
        <v>0.5714285714285714</v>
      </c>
      <c r="D89" s="149"/>
      <c r="E89" s="150"/>
      <c r="F89" s="150"/>
      <c r="G89" s="151"/>
    </row>
    <row r="90" spans="1:7">
      <c r="A90" s="17"/>
      <c r="B90" s="61" t="str">
        <f>"     Nº Contrib de " &amp;Coau+4 &amp;" Coautores"</f>
        <v xml:space="preserve">     Nº Contrib de 8 Coautores</v>
      </c>
      <c r="C90" s="105">
        <f>C$86*(Coau/(Coau+4))</f>
        <v>0.5</v>
      </c>
      <c r="D90" s="149"/>
      <c r="E90" s="150"/>
      <c r="F90" s="150"/>
      <c r="G90" s="151"/>
    </row>
    <row r="91" spans="1:7">
      <c r="A91" s="17"/>
      <c r="B91" s="61" t="str">
        <f>"     Nº Contrib de " &amp;Coau+5 &amp;" Coautores"</f>
        <v xml:space="preserve">     Nº Contrib de 9 Coautores</v>
      </c>
      <c r="C91" s="105">
        <f>C$86*(Coau/(Coau+5))</f>
        <v>0.44444444444444442</v>
      </c>
      <c r="D91" s="149"/>
      <c r="E91" s="150"/>
      <c r="F91" s="150"/>
      <c r="G91" s="151"/>
    </row>
    <row r="92" spans="1:7">
      <c r="A92" s="17"/>
      <c r="B92" s="61" t="str">
        <f>"     Nº Contrib de " &amp;Coau+6 &amp;" Coautores o más"</f>
        <v xml:space="preserve">     Nº Contrib de 10 Coautores o más</v>
      </c>
      <c r="C92" s="105">
        <f>C$86*(Coau/(Coau+6))</f>
        <v>0.4</v>
      </c>
      <c r="D92" s="155"/>
      <c r="E92" s="156"/>
      <c r="F92" s="156"/>
      <c r="G92" s="157"/>
    </row>
    <row r="93" spans="1:7">
      <c r="A93" s="17" t="s">
        <v>6</v>
      </c>
      <c r="B93" s="61" t="s">
        <v>153</v>
      </c>
      <c r="D93" s="97" t="str">
        <f>IF(SUMPRODUCT($C94:$C100,D94:D100)&gt;0,SUMPRODUCT($C94:$C100,D94:D100),"")</f>
        <v/>
      </c>
      <c r="E93" s="97" t="str">
        <f t="shared" ref="E93" si="17">IF(SUMPRODUCT($C94:$C100,E94:E100)&gt;0,SUMPRODUCT($C94:$C100,E94:E100),"")</f>
        <v/>
      </c>
      <c r="F93" s="97" t="str">
        <f t="shared" ref="F93" si="18">IF(SUMPRODUCT($C94:$C100,F94:F100)&gt;0,SUMPRODUCT($C94:$C100,F94:F100),"")</f>
        <v/>
      </c>
      <c r="G93" s="97" t="str">
        <f>IF(SUMPRODUCT($C94:$C100,G94:G100)&gt;0,SUMPRODUCT($C94:$C100,G94:G100),"")</f>
        <v/>
      </c>
    </row>
    <row r="94" spans="1:7">
      <c r="A94" s="17"/>
      <c r="B94" s="61" t="str">
        <f>B86</f>
        <v xml:space="preserve">     Nº Contrib. de 4 Coautores como máximo (o Comité Científico)</v>
      </c>
      <c r="C94" s="105">
        <v>0.5</v>
      </c>
      <c r="D94" s="146"/>
      <c r="E94" s="147"/>
      <c r="F94" s="147"/>
      <c r="G94" s="148"/>
    </row>
    <row r="95" spans="1:7">
      <c r="A95" s="17"/>
      <c r="B95" s="61" t="str">
        <f t="shared" ref="B95:B100" si="19">B87</f>
        <v xml:space="preserve">     Nº Contrib de 5 Coautores</v>
      </c>
      <c r="C95" s="105">
        <f>C$94*(Coau/(Coau+1))</f>
        <v>0.4</v>
      </c>
      <c r="D95" s="149"/>
      <c r="E95" s="150"/>
      <c r="F95" s="150"/>
      <c r="G95" s="151"/>
    </row>
    <row r="96" spans="1:7">
      <c r="A96" s="17"/>
      <c r="B96" s="61" t="str">
        <f t="shared" si="19"/>
        <v xml:space="preserve">     Nº Contrib de 6 Coautores</v>
      </c>
      <c r="C96" s="105">
        <f>C$94*(Coau/(Coau+2))</f>
        <v>0.33333333333333331</v>
      </c>
      <c r="D96" s="149"/>
      <c r="E96" s="150"/>
      <c r="F96" s="150"/>
      <c r="G96" s="151"/>
    </row>
    <row r="97" spans="1:7">
      <c r="A97" s="17"/>
      <c r="B97" s="61" t="str">
        <f t="shared" si="19"/>
        <v xml:space="preserve">     Nº Contrib de 7 Coautores</v>
      </c>
      <c r="C97" s="105">
        <f>C$94*(Coau/(Coau+3))</f>
        <v>0.2857142857142857</v>
      </c>
      <c r="D97" s="149"/>
      <c r="E97" s="150"/>
      <c r="F97" s="150"/>
      <c r="G97" s="151"/>
    </row>
    <row r="98" spans="1:7">
      <c r="A98" s="17"/>
      <c r="B98" s="61" t="str">
        <f t="shared" si="19"/>
        <v xml:space="preserve">     Nº Contrib de 8 Coautores</v>
      </c>
      <c r="C98" s="105">
        <f>C$94*(Coau/(Coau+4))</f>
        <v>0.25</v>
      </c>
      <c r="D98" s="149"/>
      <c r="E98" s="150"/>
      <c r="F98" s="150"/>
      <c r="G98" s="151"/>
    </row>
    <row r="99" spans="1:7">
      <c r="A99" s="17"/>
      <c r="B99" s="61" t="str">
        <f t="shared" si="19"/>
        <v xml:space="preserve">     Nº Contrib de 9 Coautores</v>
      </c>
      <c r="C99" s="105">
        <f>C$94*(Coau/(Coau+5))</f>
        <v>0.22222222222222221</v>
      </c>
      <c r="D99" s="149"/>
      <c r="E99" s="150"/>
      <c r="F99" s="150"/>
      <c r="G99" s="151"/>
    </row>
    <row r="100" spans="1:7" s="129" customFormat="1" ht="15.75" thickBot="1">
      <c r="A100" s="126"/>
      <c r="B100" s="127" t="str">
        <f t="shared" si="19"/>
        <v xml:space="preserve">     Nº Contrib de 10 Coautores o más</v>
      </c>
      <c r="C100" s="128">
        <f>C$94*(Coau/(Coau+6))</f>
        <v>0.2</v>
      </c>
      <c r="D100" s="152"/>
      <c r="E100" s="153"/>
      <c r="F100" s="153"/>
      <c r="G100" s="154"/>
    </row>
    <row r="101" spans="1:7" ht="15.75" thickTop="1">
      <c r="A101" s="18" t="s">
        <v>59</v>
      </c>
      <c r="B101" s="162" t="s">
        <v>154</v>
      </c>
      <c r="D101" s="88" t="str">
        <f>IF((N(D102)+N(D110)+N(D118)+N(D126))&gt;0,N(D102)+N(D110)+N(D118)+N(D126),"")</f>
        <v/>
      </c>
      <c r="E101" s="88" t="str">
        <f t="shared" ref="E101" si="20">IF((N(E102)+N(E110)+N(E118)+N(E126))&gt;0,N(E102)+N(E110)+N(E118)+N(E126),"")</f>
        <v/>
      </c>
      <c r="F101" s="88" t="str">
        <f t="shared" ref="F101" si="21">IF((N(F102)+N(F110)+N(F118)+N(F126))&gt;0,N(F102)+N(F110)+N(F118)+N(F126),"")</f>
        <v/>
      </c>
      <c r="G101" s="88" t="str">
        <f t="shared" ref="G101" si="22">IF((N(G102)+N(G110)+N(G118)+N(G126))&gt;0,N(G102)+N(G110)+N(G118)+N(G126),"")</f>
        <v/>
      </c>
    </row>
    <row r="102" spans="1:7">
      <c r="A102" s="18" t="s">
        <v>5</v>
      </c>
      <c r="B102" s="62" t="s">
        <v>118</v>
      </c>
      <c r="D102" s="97" t="str">
        <f>IF(SUMPRODUCT($C103:$C109,D103:D109)&gt;0,SUMPRODUCT($C103:$C109,D103:D109),"")</f>
        <v/>
      </c>
      <c r="E102" s="97" t="str">
        <f>IF(SUMPRODUCT($C103:$C109,E103:E109)&gt;0,SUMPRODUCT($C103:$C109,E103:E109),"")</f>
        <v/>
      </c>
      <c r="F102" s="97" t="str">
        <f t="shared" ref="F102" si="23">IF(SUMPRODUCT($C103:$C109,F103:F109)&gt;0,SUMPRODUCT($C103:$C109,F103:F109),"")</f>
        <v/>
      </c>
      <c r="G102" s="97" t="str">
        <f>IF(SUMPRODUCT($C103:$C109,G103:G109)&gt;0,SUMPRODUCT($C103:$C109,G103:G109),"")</f>
        <v/>
      </c>
    </row>
    <row r="103" spans="1:7">
      <c r="A103" s="18"/>
      <c r="B103" s="62" t="str">
        <f>"     Nº libros de " &amp;Coau &amp;" Coautores como máximo"</f>
        <v xml:space="preserve">     Nº libros de 4 Coautores como máximo</v>
      </c>
      <c r="C103" s="105">
        <v>12</v>
      </c>
      <c r="D103" s="146"/>
      <c r="E103" s="147"/>
      <c r="F103" s="147"/>
      <c r="G103" s="148"/>
    </row>
    <row r="104" spans="1:7">
      <c r="A104" s="18"/>
      <c r="B104" s="62" t="str">
        <f>"     Nº libros de " &amp;Coau+1 &amp;" Coautores"</f>
        <v xml:space="preserve">     Nº libros de 5 Coautores</v>
      </c>
      <c r="C104" s="105">
        <f>C$103*(Coau/(Coau+1))</f>
        <v>9.6000000000000014</v>
      </c>
      <c r="D104" s="149"/>
      <c r="E104" s="150"/>
      <c r="F104" s="150"/>
      <c r="G104" s="151"/>
    </row>
    <row r="105" spans="1:7">
      <c r="A105" s="18"/>
      <c r="B105" s="62" t="str">
        <f>"     Nº libros de " &amp;Coau+2 &amp;" Coautores"</f>
        <v xml:space="preserve">     Nº libros de 6 Coautores</v>
      </c>
      <c r="C105" s="105">
        <f>C$103*(Coau/(Coau+2))</f>
        <v>8</v>
      </c>
      <c r="D105" s="149"/>
      <c r="E105" s="150"/>
      <c r="F105" s="150"/>
      <c r="G105" s="151"/>
    </row>
    <row r="106" spans="1:7">
      <c r="A106" s="18"/>
      <c r="B106" s="62" t="str">
        <f>"     Nº libros de " &amp;Coau+3 &amp;" Coautores"</f>
        <v xml:space="preserve">     Nº libros de 7 Coautores</v>
      </c>
      <c r="C106" s="105">
        <f>C$103*(Coau/(Coau+3))</f>
        <v>6.8571428571428568</v>
      </c>
      <c r="D106" s="149"/>
      <c r="E106" s="150"/>
      <c r="F106" s="150"/>
      <c r="G106" s="151"/>
    </row>
    <row r="107" spans="1:7">
      <c r="A107" s="18"/>
      <c r="B107" s="62" t="str">
        <f>"     Nº libros de " &amp;Coau+4 &amp;" Coautores"</f>
        <v xml:space="preserve">     Nº libros de 8 Coautores</v>
      </c>
      <c r="C107" s="105">
        <f>C$103*(Coau/(Coau+4))</f>
        <v>6</v>
      </c>
      <c r="D107" s="149"/>
      <c r="E107" s="150"/>
      <c r="F107" s="150"/>
      <c r="G107" s="151"/>
    </row>
    <row r="108" spans="1:7">
      <c r="A108" s="18"/>
      <c r="B108" s="62" t="str">
        <f>"     Nº libros de " &amp;Coau+5 &amp;" Coautores"</f>
        <v xml:space="preserve">     Nº libros de 9 Coautores</v>
      </c>
      <c r="C108" s="105">
        <f>C$103*(Coau/(Coau+5))</f>
        <v>5.333333333333333</v>
      </c>
      <c r="D108" s="149"/>
      <c r="E108" s="150"/>
      <c r="F108" s="150"/>
      <c r="G108" s="151"/>
    </row>
    <row r="109" spans="1:7">
      <c r="A109" s="18"/>
      <c r="B109" s="62" t="str">
        <f>"     Nº libros de " &amp;Coau+6 &amp;" Coautores o más"</f>
        <v xml:space="preserve">     Nº libros de 10 Coautores o más</v>
      </c>
      <c r="C109" s="105">
        <f>C$103*(Coau/(Coau+6))</f>
        <v>4.8000000000000007</v>
      </c>
      <c r="D109" s="149"/>
      <c r="E109" s="150"/>
      <c r="F109" s="150"/>
      <c r="G109" s="151"/>
    </row>
    <row r="110" spans="1:7">
      <c r="A110" s="18" t="s">
        <v>6</v>
      </c>
      <c r="B110" s="62" t="s">
        <v>119</v>
      </c>
      <c r="D110" s="97" t="str">
        <f>IF(SUMPRODUCT($C111:$C117,D111:D117)&gt;0,SUMPRODUCT($C111:$C117,D111:D117),"")</f>
        <v/>
      </c>
      <c r="E110" s="97" t="str">
        <f t="shared" ref="E110" si="24">IF(SUMPRODUCT($C111:$C117,E111:E117)&gt;0,SUMPRODUCT($C111:$C117,E111:E117),"")</f>
        <v/>
      </c>
      <c r="F110" s="97" t="str">
        <f t="shared" ref="F110" si="25">IF(SUMPRODUCT($C111:$C117,F111:F117)&gt;0,SUMPRODUCT($C111:$C117,F111:F117),"")</f>
        <v/>
      </c>
      <c r="G110" s="97" t="str">
        <f>IF(SUMPRODUCT($C111:$C117,G111:G117)&gt;0,SUMPRODUCT($C111:$C117,G111:G117),"")</f>
        <v/>
      </c>
    </row>
    <row r="111" spans="1:7">
      <c r="A111" s="18"/>
      <c r="B111" s="62" t="str">
        <f>B103</f>
        <v xml:space="preserve">     Nº libros de 4 Coautores como máximo</v>
      </c>
      <c r="C111" s="105">
        <v>5</v>
      </c>
      <c r="D111" s="146"/>
      <c r="E111" s="147"/>
      <c r="F111" s="147"/>
      <c r="G111" s="148"/>
    </row>
    <row r="112" spans="1:7">
      <c r="A112" s="18"/>
      <c r="B112" s="62" t="str">
        <f t="shared" ref="B112:B117" si="26">B104</f>
        <v xml:space="preserve">     Nº libros de 5 Coautores</v>
      </c>
      <c r="C112" s="105">
        <f>C$111*(Coau/(Coau+1))</f>
        <v>4</v>
      </c>
      <c r="D112" s="149"/>
      <c r="E112" s="150"/>
      <c r="F112" s="150"/>
      <c r="G112" s="151"/>
    </row>
    <row r="113" spans="1:7">
      <c r="A113" s="18"/>
      <c r="B113" s="62" t="str">
        <f t="shared" si="26"/>
        <v xml:space="preserve">     Nº libros de 6 Coautores</v>
      </c>
      <c r="C113" s="105">
        <f>C$111*(Coau/(Coau+2))</f>
        <v>3.333333333333333</v>
      </c>
      <c r="D113" s="149"/>
      <c r="E113" s="150"/>
      <c r="F113" s="150"/>
      <c r="G113" s="151"/>
    </row>
    <row r="114" spans="1:7">
      <c r="A114" s="18"/>
      <c r="B114" s="62" t="str">
        <f t="shared" si="26"/>
        <v xml:space="preserve">     Nº libros de 7 Coautores</v>
      </c>
      <c r="C114" s="105">
        <f>C$111*(Coau/(Coau+3))</f>
        <v>2.8571428571428568</v>
      </c>
      <c r="D114" s="149"/>
      <c r="E114" s="150"/>
      <c r="F114" s="150"/>
      <c r="G114" s="151"/>
    </row>
    <row r="115" spans="1:7">
      <c r="A115" s="18"/>
      <c r="B115" s="62" t="str">
        <f t="shared" si="26"/>
        <v xml:space="preserve">     Nº libros de 8 Coautores</v>
      </c>
      <c r="C115" s="105">
        <f>C$111*(Coau/(Coau+4))</f>
        <v>2.5</v>
      </c>
      <c r="D115" s="149"/>
      <c r="E115" s="150"/>
      <c r="F115" s="150"/>
      <c r="G115" s="151"/>
    </row>
    <row r="116" spans="1:7">
      <c r="A116" s="18"/>
      <c r="B116" s="62" t="str">
        <f t="shared" si="26"/>
        <v xml:space="preserve">     Nº libros de 9 Coautores</v>
      </c>
      <c r="C116" s="105">
        <f>C$111*(Coau/(Coau+5))</f>
        <v>2.2222222222222223</v>
      </c>
      <c r="D116" s="149"/>
      <c r="E116" s="150"/>
      <c r="F116" s="150"/>
      <c r="G116" s="151"/>
    </row>
    <row r="117" spans="1:7">
      <c r="A117" s="18"/>
      <c r="B117" s="62" t="str">
        <f t="shared" si="26"/>
        <v xml:space="preserve">     Nº libros de 10 Coautores o más</v>
      </c>
      <c r="C117" s="105">
        <f>C$103*(Coau/(Coau+6))</f>
        <v>4.8000000000000007</v>
      </c>
      <c r="D117" s="149"/>
      <c r="E117" s="150"/>
      <c r="F117" s="150"/>
      <c r="G117" s="151"/>
    </row>
    <row r="118" spans="1:7">
      <c r="A118" s="18" t="s">
        <v>7</v>
      </c>
      <c r="B118" s="62" t="s">
        <v>120</v>
      </c>
      <c r="D118" s="97" t="str">
        <f>IF(SUMPRODUCT($C119:$C125,D119:D125)&gt;0,SUMPRODUCT($C119:$C125,D119:D125),"")</f>
        <v/>
      </c>
      <c r="E118" s="97" t="str">
        <f t="shared" ref="E118" si="27">IF(SUMPRODUCT($C119:$C125,E119:E125)&gt;0,SUMPRODUCT($C119:$C125,E119:E125),"")</f>
        <v/>
      </c>
      <c r="F118" s="97" t="str">
        <f t="shared" ref="F118" si="28">IF(SUMPRODUCT($C119:$C125,F119:F125)&gt;0,SUMPRODUCT($C119:$C125,F119:F125),"")</f>
        <v/>
      </c>
      <c r="G118" s="97" t="str">
        <f>IF(SUMPRODUCT($C119:$C125,G119:G125)&gt;0,SUMPRODUCT($C119:$C125,G119:G125),"")</f>
        <v/>
      </c>
    </row>
    <row r="119" spans="1:7">
      <c r="A119" s="18"/>
      <c r="B119" s="62" t="str">
        <f>"     Nº cap.libros de " &amp;Coau &amp;" Coautores como máximo (o Editor)"</f>
        <v xml:space="preserve">     Nº cap.libros de 4 Coautores como máximo (o Editor)</v>
      </c>
      <c r="C119" s="105">
        <v>8</v>
      </c>
      <c r="D119" s="146"/>
      <c r="E119" s="147"/>
      <c r="F119" s="147"/>
      <c r="G119" s="148"/>
    </row>
    <row r="120" spans="1:7">
      <c r="A120" s="18"/>
      <c r="B120" s="62" t="str">
        <f>"     Nº cap.libros de " &amp;Coau+1 &amp;" Coautores"</f>
        <v xml:space="preserve">     Nº cap.libros de 5 Coautores</v>
      </c>
      <c r="C120" s="105">
        <f>C$119*(Coau/(Coau+1))</f>
        <v>6.4</v>
      </c>
      <c r="D120" s="149"/>
      <c r="E120" s="150"/>
      <c r="F120" s="150"/>
      <c r="G120" s="151"/>
    </row>
    <row r="121" spans="1:7">
      <c r="A121" s="18"/>
      <c r="B121" s="62" t="str">
        <f>"     Nº cap.libros de " &amp;Coau+2 &amp;" Coautores"</f>
        <v xml:space="preserve">     Nº cap.libros de 6 Coautores</v>
      </c>
      <c r="C121" s="105">
        <f>C$119*(Coau/(Coau+2))</f>
        <v>5.333333333333333</v>
      </c>
      <c r="D121" s="149"/>
      <c r="E121" s="150"/>
      <c r="F121" s="150"/>
      <c r="G121" s="151"/>
    </row>
    <row r="122" spans="1:7">
      <c r="A122" s="18"/>
      <c r="B122" s="62" t="str">
        <f>"     Nº cap.libros de " &amp;Coau+3 &amp;" Coautores"</f>
        <v xml:space="preserve">     Nº cap.libros de 7 Coautores</v>
      </c>
      <c r="C122" s="105">
        <f>C$119*(Coau/(Coau+3))</f>
        <v>4.5714285714285712</v>
      </c>
      <c r="D122" s="149"/>
      <c r="E122" s="150"/>
      <c r="F122" s="150"/>
      <c r="G122" s="151"/>
    </row>
    <row r="123" spans="1:7">
      <c r="A123" s="18"/>
      <c r="B123" s="62" t="str">
        <f>"     Nº cap.libros de " &amp;Coau+4 &amp;" Coautores"</f>
        <v xml:space="preserve">     Nº cap.libros de 8 Coautores</v>
      </c>
      <c r="C123" s="105">
        <f>C$119*(Coau/(Coau+4))</f>
        <v>4</v>
      </c>
      <c r="D123" s="149"/>
      <c r="E123" s="150"/>
      <c r="F123" s="150"/>
      <c r="G123" s="151"/>
    </row>
    <row r="124" spans="1:7">
      <c r="A124" s="18"/>
      <c r="B124" s="62" t="str">
        <f>"     Nº cap.libros de " &amp;Coau+5 &amp;" Coautores"</f>
        <v xml:space="preserve">     Nº cap.libros de 9 Coautores</v>
      </c>
      <c r="C124" s="105">
        <f>C$119*(Coau/(Coau+5))</f>
        <v>3.5555555555555554</v>
      </c>
      <c r="D124" s="149"/>
      <c r="E124" s="150"/>
      <c r="F124" s="150"/>
      <c r="G124" s="151"/>
    </row>
    <row r="125" spans="1:7">
      <c r="A125" s="18"/>
      <c r="B125" s="62" t="str">
        <f>"     Nº cap.libros de " &amp;Coau+6 &amp;" Coautores o más"</f>
        <v xml:space="preserve">     Nº cap.libros de 10 Coautores o más</v>
      </c>
      <c r="C125" s="105">
        <f>C$119*(Coau/(Coau+6))</f>
        <v>3.2</v>
      </c>
      <c r="D125" s="149"/>
      <c r="E125" s="150"/>
      <c r="F125" s="150"/>
      <c r="G125" s="151"/>
    </row>
    <row r="126" spans="1:7">
      <c r="A126" s="18" t="s">
        <v>8</v>
      </c>
      <c r="B126" s="62" t="s">
        <v>121</v>
      </c>
      <c r="D126" s="158" t="str">
        <f>IF(SUMPRODUCT($C127:$C133,D127:D133)&gt;0,SUMPRODUCT($C127:$C133,D127:D133),"")</f>
        <v/>
      </c>
      <c r="E126" s="158" t="str">
        <f t="shared" ref="E126" si="29">IF(SUMPRODUCT($C127:$C133,E127:E133)&gt;0,SUMPRODUCT($C127:$C133,E127:E133),"")</f>
        <v/>
      </c>
      <c r="F126" s="158" t="str">
        <f t="shared" ref="F126" si="30">IF(SUMPRODUCT($C127:$C133,F127:F133)&gt;0,SUMPRODUCT($C127:$C133,F127:F133),"")</f>
        <v/>
      </c>
      <c r="G126" s="158" t="str">
        <f>IF(SUMPRODUCT($C127:$C133,G127:G133)&gt;0,SUMPRODUCT($C127:$C133,G127:G133),"")</f>
        <v/>
      </c>
    </row>
    <row r="127" spans="1:7">
      <c r="A127" s="18"/>
      <c r="B127" s="62" t="str">
        <f>B119</f>
        <v xml:space="preserve">     Nº cap.libros de 4 Coautores como máximo (o Editor)</v>
      </c>
      <c r="C127" s="105">
        <v>3</v>
      </c>
      <c r="D127" s="146"/>
      <c r="E127" s="147"/>
      <c r="F127" s="147"/>
      <c r="G127" s="148"/>
    </row>
    <row r="128" spans="1:7">
      <c r="A128" s="18"/>
      <c r="B128" s="62" t="str">
        <f t="shared" ref="B128:B133" si="31">B120</f>
        <v xml:space="preserve">     Nº cap.libros de 5 Coautores</v>
      </c>
      <c r="C128" s="105">
        <f>C$127*(Coau/(Coau+1))</f>
        <v>2.4000000000000004</v>
      </c>
      <c r="D128" s="149"/>
      <c r="E128" s="150"/>
      <c r="F128" s="150"/>
      <c r="G128" s="151"/>
    </row>
    <row r="129" spans="1:11">
      <c r="A129" s="18"/>
      <c r="B129" s="62" t="str">
        <f t="shared" si="31"/>
        <v xml:space="preserve">     Nº cap.libros de 6 Coautores</v>
      </c>
      <c r="C129" s="105">
        <f>C$127*(Coau/(Coau+2))</f>
        <v>2</v>
      </c>
      <c r="D129" s="149"/>
      <c r="E129" s="150"/>
      <c r="F129" s="150"/>
      <c r="G129" s="151"/>
    </row>
    <row r="130" spans="1:11">
      <c r="A130" s="18"/>
      <c r="B130" s="62" t="str">
        <f t="shared" si="31"/>
        <v xml:space="preserve">     Nº cap.libros de 7 Coautores</v>
      </c>
      <c r="C130" s="105">
        <f>C$127*(Coau/(Coau+3))</f>
        <v>1.7142857142857142</v>
      </c>
      <c r="D130" s="149"/>
      <c r="E130" s="150"/>
      <c r="F130" s="150"/>
      <c r="G130" s="151"/>
    </row>
    <row r="131" spans="1:11">
      <c r="A131" s="18"/>
      <c r="B131" s="62" t="str">
        <f t="shared" si="31"/>
        <v xml:space="preserve">     Nº cap.libros de 8 Coautores</v>
      </c>
      <c r="C131" s="105">
        <f>C$127*(Coau/(Coau+4))</f>
        <v>1.5</v>
      </c>
      <c r="D131" s="149"/>
      <c r="E131" s="150"/>
      <c r="F131" s="150"/>
      <c r="G131" s="151"/>
    </row>
    <row r="132" spans="1:11">
      <c r="A132" s="18"/>
      <c r="B132" s="62" t="str">
        <f t="shared" si="31"/>
        <v xml:space="preserve">     Nº cap.libros de 9 Coautores</v>
      </c>
      <c r="C132" s="105">
        <f>C$127*(Coau/(Coau+5))</f>
        <v>1.3333333333333333</v>
      </c>
      <c r="D132" s="149"/>
      <c r="E132" s="150"/>
      <c r="F132" s="150"/>
      <c r="G132" s="151"/>
    </row>
    <row r="133" spans="1:11" s="129" customFormat="1" ht="15.75" thickBot="1">
      <c r="A133" s="138"/>
      <c r="B133" s="139" t="str">
        <f t="shared" si="31"/>
        <v xml:space="preserve">     Nº cap.libros de 10 Coautores o más</v>
      </c>
      <c r="C133" s="128">
        <f>C$127*(Coau/(Coau+6))</f>
        <v>1.2000000000000002</v>
      </c>
      <c r="D133" s="152"/>
      <c r="E133" s="153"/>
      <c r="F133" s="153"/>
      <c r="G133" s="154"/>
    </row>
    <row r="134" spans="1:11" ht="15.75" thickTop="1">
      <c r="A134" s="19" t="s">
        <v>69</v>
      </c>
      <c r="B134" s="102" t="s">
        <v>70</v>
      </c>
      <c r="D134" s="160" t="str">
        <f>IF(SUMPRODUCT($C135:$C136,D135:D136)&gt;0,IF(SUMPRODUCT($C135:$C136,D135:D136)&gt;12,12,SUMPRODUCT($C135:$C136,D135:D136)),"")</f>
        <v/>
      </c>
      <c r="E134" s="160" t="str">
        <f t="shared" ref="E134:G134" si="32">IF(SUMPRODUCT($C135:$C136,E135:E136)&gt;0,IF(SUMPRODUCT($C135:$C136,E135:E136)&gt;12,12,SUMPRODUCT($C135:$C136,E135:E136)),"")</f>
        <v/>
      </c>
      <c r="F134" s="160" t="str">
        <f t="shared" si="32"/>
        <v/>
      </c>
      <c r="G134" s="160" t="str">
        <f t="shared" si="32"/>
        <v/>
      </c>
    </row>
    <row r="135" spans="1:11">
      <c r="A135" s="19" t="s">
        <v>5</v>
      </c>
      <c r="B135" s="63" t="s">
        <v>122</v>
      </c>
      <c r="C135" s="70">
        <v>6</v>
      </c>
      <c r="D135" s="82"/>
      <c r="E135" s="82"/>
      <c r="F135" s="82"/>
      <c r="G135" s="82"/>
    </row>
    <row r="136" spans="1:11">
      <c r="A136" s="19" t="s">
        <v>6</v>
      </c>
      <c r="B136" s="63" t="s">
        <v>123</v>
      </c>
      <c r="C136" s="70">
        <v>3</v>
      </c>
      <c r="D136" s="82"/>
      <c r="E136" s="82"/>
      <c r="F136" s="82"/>
      <c r="G136" s="82"/>
    </row>
    <row r="137" spans="1:11" s="2" customFormat="1" ht="16.5">
      <c r="A137" s="9">
        <v>4</v>
      </c>
      <c r="B137" s="59" t="s">
        <v>72</v>
      </c>
      <c r="C137" s="74"/>
      <c r="D137" s="161"/>
      <c r="E137" s="161"/>
      <c r="F137" s="161"/>
      <c r="G137" s="161"/>
      <c r="I137"/>
      <c r="J137"/>
      <c r="K137"/>
    </row>
    <row r="138" spans="1:11">
      <c r="A138" s="20" t="s">
        <v>73</v>
      </c>
      <c r="B138" s="144" t="s">
        <v>156</v>
      </c>
      <c r="D138" s="159" t="str">
        <f>IF((N(D139)+N(D147)+N(D155)+N(D163)+N(D171)+N(D179))&gt;0,(N(D139)+N(D147)+N(D155)+N(D163)+N(D171)+N(D179)),"")</f>
        <v/>
      </c>
      <c r="E138" s="159" t="str">
        <f t="shared" ref="E138:G138" si="33">IF((N(E139)+N(E147)+N(E155)+N(E163)+N(E171)+N(E179))&gt;0,(N(E139)+N(E147)+N(E155)+N(E163)+N(E171)+N(E179)),"")</f>
        <v/>
      </c>
      <c r="F138" s="159" t="str">
        <f t="shared" si="33"/>
        <v/>
      </c>
      <c r="G138" s="159" t="str">
        <f t="shared" si="33"/>
        <v/>
      </c>
    </row>
    <row r="139" spans="1:11">
      <c r="A139" s="20" t="s">
        <v>5</v>
      </c>
      <c r="B139" s="64" t="s">
        <v>124</v>
      </c>
      <c r="D139" s="158" t="str">
        <f>IF(SUMPRODUCT($C140:$C146,D140:D146)&gt;0,SUMPRODUCT($C140:$C146,D140:D146),"")</f>
        <v/>
      </c>
      <c r="E139" s="158" t="str">
        <f t="shared" ref="E139:F139" si="34">IF(SUMPRODUCT($C140:$C146,E140:E146)&gt;0,SUMPRODUCT($C140:$C146,E140:E146),"")</f>
        <v/>
      </c>
      <c r="F139" s="158" t="str">
        <f t="shared" si="34"/>
        <v/>
      </c>
      <c r="G139" s="158" t="str">
        <f>IF(SUMPRODUCT($C140:$C146,G140:G146)&gt;0,SUMPRODUCT($C140:$C146,G140:G146),"")</f>
        <v/>
      </c>
    </row>
    <row r="140" spans="1:11">
      <c r="A140" s="20"/>
      <c r="B140" s="64" t="str">
        <f>"     Nº patentes de " &amp;Coau &amp;" Coautores como máximo"</f>
        <v xml:space="preserve">     Nº patentes de 4 Coautores como máximo</v>
      </c>
      <c r="C140" s="105">
        <v>16</v>
      </c>
      <c r="D140" s="146"/>
      <c r="E140" s="147"/>
      <c r="F140" s="147"/>
      <c r="G140" s="148"/>
    </row>
    <row r="141" spans="1:11">
      <c r="A141" s="20"/>
      <c r="B141" s="64" t="str">
        <f>"     Nº patentes de " &amp;Coau+1 &amp;" Coautores"</f>
        <v xml:space="preserve">     Nº patentes de 5 Coautores</v>
      </c>
      <c r="C141" s="124">
        <f>C$140*(Coau/(Coau+1))</f>
        <v>12.8</v>
      </c>
      <c r="D141" s="149"/>
      <c r="E141" s="150"/>
      <c r="F141" s="150"/>
      <c r="G141" s="151"/>
    </row>
    <row r="142" spans="1:11">
      <c r="A142" s="20"/>
      <c r="B142" s="64" t="str">
        <f>"     Nº patentes de " &amp;Coau+2 &amp;" Coautores"</f>
        <v xml:space="preserve">     Nº patentes de 6 Coautores</v>
      </c>
      <c r="C142" s="124">
        <f>C$140*(Coau/(Coau+2))</f>
        <v>10.666666666666666</v>
      </c>
      <c r="D142" s="149"/>
      <c r="E142" s="150"/>
      <c r="F142" s="150"/>
      <c r="G142" s="151"/>
    </row>
    <row r="143" spans="1:11">
      <c r="A143" s="20"/>
      <c r="B143" s="64" t="str">
        <f>"     Nº patentes de " &amp;Coau+3 &amp;" Coautores"</f>
        <v xml:space="preserve">     Nº patentes de 7 Coautores</v>
      </c>
      <c r="C143" s="124">
        <f>C$140*(Coau/(Coau+3))</f>
        <v>9.1428571428571423</v>
      </c>
      <c r="D143" s="149"/>
      <c r="E143" s="150"/>
      <c r="F143" s="150"/>
      <c r="G143" s="151"/>
    </row>
    <row r="144" spans="1:11">
      <c r="A144" s="20"/>
      <c r="B144" s="64" t="str">
        <f>"     Nº patentes de " &amp;Coau+4 &amp;" Coautores"</f>
        <v xml:space="preserve">     Nº patentes de 8 Coautores</v>
      </c>
      <c r="C144" s="124">
        <f>C$140*(Coau/(Coau+4))</f>
        <v>8</v>
      </c>
      <c r="D144" s="149"/>
      <c r="E144" s="150"/>
      <c r="F144" s="150"/>
      <c r="G144" s="151"/>
    </row>
    <row r="145" spans="1:7">
      <c r="A145" s="20"/>
      <c r="B145" s="64" t="str">
        <f>"     Nº patentes de " &amp;Coau+5 &amp;" Coautores"</f>
        <v xml:space="preserve">     Nº patentes de 9 Coautores</v>
      </c>
      <c r="C145" s="124">
        <f>C$140*(Coau/(Coau+5))</f>
        <v>7.1111111111111107</v>
      </c>
      <c r="D145" s="149"/>
      <c r="E145" s="150"/>
      <c r="F145" s="150"/>
      <c r="G145" s="151"/>
    </row>
    <row r="146" spans="1:7" ht="15.75" thickBot="1">
      <c r="A146" s="20"/>
      <c r="B146" s="64" t="str">
        <f>"     Nº patentes de " &amp;Coau+6 &amp;" Coautores o más"</f>
        <v xml:space="preserve">     Nº patentes de 10 Coautores o más</v>
      </c>
      <c r="C146" s="124">
        <f>C$140*(Coau/(Coau+6))</f>
        <v>6.4</v>
      </c>
      <c r="D146" s="152"/>
      <c r="E146" s="153"/>
      <c r="F146" s="153"/>
      <c r="G146" s="154"/>
    </row>
    <row r="147" spans="1:7" ht="15.75" thickTop="1">
      <c r="A147" s="20" t="s">
        <v>6</v>
      </c>
      <c r="B147" s="64" t="s">
        <v>125</v>
      </c>
      <c r="D147" s="158" t="str">
        <f>IF(SUMPRODUCT($C148:$C154,D148:D154)&gt;0,SUMPRODUCT($C148:$C154,D148:D154),"")</f>
        <v/>
      </c>
      <c r="E147" s="158" t="str">
        <f t="shared" ref="E147:F147" si="35">IF(SUMPRODUCT($C148:$C154,E148:E154)&gt;0,SUMPRODUCT($C148:$C154,E148:E154),"")</f>
        <v/>
      </c>
      <c r="F147" s="158" t="str">
        <f t="shared" si="35"/>
        <v/>
      </c>
      <c r="G147" s="158" t="str">
        <f>IF(SUMPRODUCT($C148:$C154,G148:G154)&gt;0,SUMPRODUCT($C148:$C154,G148:G154),"")</f>
        <v/>
      </c>
    </row>
    <row r="148" spans="1:7">
      <c r="A148" s="20"/>
      <c r="B148" s="64" t="str">
        <f>B140</f>
        <v xml:space="preserve">     Nº patentes de 4 Coautores como máximo</v>
      </c>
      <c r="C148" s="105">
        <v>6</v>
      </c>
      <c r="D148" s="146"/>
      <c r="E148" s="147"/>
      <c r="F148" s="147"/>
      <c r="G148" s="148"/>
    </row>
    <row r="149" spans="1:7">
      <c r="A149" s="20"/>
      <c r="B149" s="64" t="str">
        <f t="shared" ref="B149:B154" si="36">B141</f>
        <v xml:space="preserve">     Nº patentes de 5 Coautores</v>
      </c>
      <c r="C149" s="124">
        <f>C$148*(Coau/(Coau+1))</f>
        <v>4.8000000000000007</v>
      </c>
      <c r="D149" s="149"/>
      <c r="E149" s="150"/>
      <c r="F149" s="150"/>
      <c r="G149" s="151"/>
    </row>
    <row r="150" spans="1:7">
      <c r="A150" s="20"/>
      <c r="B150" s="64" t="str">
        <f t="shared" si="36"/>
        <v xml:space="preserve">     Nº patentes de 6 Coautores</v>
      </c>
      <c r="C150" s="124">
        <f>C$148*(Coau/(Coau+2))</f>
        <v>4</v>
      </c>
      <c r="D150" s="149"/>
      <c r="E150" s="150"/>
      <c r="F150" s="150"/>
      <c r="G150" s="151"/>
    </row>
    <row r="151" spans="1:7">
      <c r="A151" s="20"/>
      <c r="B151" s="64" t="str">
        <f t="shared" si="36"/>
        <v xml:space="preserve">     Nº patentes de 7 Coautores</v>
      </c>
      <c r="C151" s="124">
        <f>C$148*(Coau/(Coau+3))</f>
        <v>3.4285714285714284</v>
      </c>
      <c r="D151" s="149"/>
      <c r="E151" s="150"/>
      <c r="F151" s="150"/>
      <c r="G151" s="151"/>
    </row>
    <row r="152" spans="1:7">
      <c r="A152" s="20"/>
      <c r="B152" s="64" t="str">
        <f t="shared" si="36"/>
        <v xml:space="preserve">     Nº patentes de 8 Coautores</v>
      </c>
      <c r="C152" s="124">
        <f>C$148*(Coau/(Coau+4))</f>
        <v>3</v>
      </c>
      <c r="D152" s="149"/>
      <c r="E152" s="150"/>
      <c r="F152" s="150"/>
      <c r="G152" s="151"/>
    </row>
    <row r="153" spans="1:7">
      <c r="A153" s="20"/>
      <c r="B153" s="64" t="str">
        <f t="shared" si="36"/>
        <v xml:space="preserve">     Nº patentes de 9 Coautores</v>
      </c>
      <c r="C153" s="124">
        <f>C$148*(Coau/(Coau+5))</f>
        <v>2.6666666666666665</v>
      </c>
      <c r="D153" s="149"/>
      <c r="E153" s="150"/>
      <c r="F153" s="150"/>
      <c r="G153" s="151"/>
    </row>
    <row r="154" spans="1:7" ht="15.75" thickBot="1">
      <c r="A154" s="20"/>
      <c r="B154" s="64" t="str">
        <f t="shared" si="36"/>
        <v xml:space="preserve">     Nº patentes de 10 Coautores o más</v>
      </c>
      <c r="C154" s="124">
        <f>C$148*(Coau/(Coau+6))</f>
        <v>2.4000000000000004</v>
      </c>
      <c r="D154" s="152"/>
      <c r="E154" s="153"/>
      <c r="F154" s="153"/>
      <c r="G154" s="154"/>
    </row>
    <row r="155" spans="1:7" ht="15.75" thickTop="1">
      <c r="A155" s="20" t="s">
        <v>7</v>
      </c>
      <c r="B155" s="64" t="s">
        <v>126</v>
      </c>
      <c r="D155" s="158" t="str">
        <f>IF(SUMPRODUCT($C156:$C162,D156:D162)&gt;0,SUMPRODUCT($C156:$C162,D156:D162),"")</f>
        <v/>
      </c>
      <c r="E155" s="158" t="str">
        <f t="shared" ref="E155:F155" si="37">IF(SUMPRODUCT($C156:$C162,E156:E162)&gt;0,SUMPRODUCT($C156:$C162,E156:E162),"")</f>
        <v/>
      </c>
      <c r="F155" s="158" t="str">
        <f t="shared" si="37"/>
        <v/>
      </c>
      <c r="G155" s="158" t="str">
        <f>IF(SUMPRODUCT($C156:$C162,G156:G162)&gt;0,SUMPRODUCT($C156:$C162,G156:G162),"")</f>
        <v/>
      </c>
    </row>
    <row r="156" spans="1:7">
      <c r="A156" s="20"/>
      <c r="B156" s="64" t="str">
        <f>B140</f>
        <v xml:space="preserve">     Nº patentes de 4 Coautores como máximo</v>
      </c>
      <c r="C156" s="105">
        <v>8</v>
      </c>
      <c r="D156" s="146"/>
      <c r="E156" s="147"/>
      <c r="F156" s="147"/>
      <c r="G156" s="148"/>
    </row>
    <row r="157" spans="1:7">
      <c r="A157" s="20"/>
      <c r="B157" s="64" t="str">
        <f t="shared" ref="B157:B162" si="38">B141</f>
        <v xml:space="preserve">     Nº patentes de 5 Coautores</v>
      </c>
      <c r="C157" s="124">
        <f>C$156*(Coau/(Coau+1))</f>
        <v>6.4</v>
      </c>
      <c r="D157" s="149"/>
      <c r="E157" s="150"/>
      <c r="F157" s="150"/>
      <c r="G157" s="151"/>
    </row>
    <row r="158" spans="1:7">
      <c r="A158" s="20"/>
      <c r="B158" s="64" t="str">
        <f t="shared" si="38"/>
        <v xml:space="preserve">     Nº patentes de 6 Coautores</v>
      </c>
      <c r="C158" s="124">
        <f>C$156*(Coau/(Coau+2))</f>
        <v>5.333333333333333</v>
      </c>
      <c r="D158" s="149"/>
      <c r="E158" s="150"/>
      <c r="F158" s="150"/>
      <c r="G158" s="151"/>
    </row>
    <row r="159" spans="1:7">
      <c r="A159" s="20"/>
      <c r="B159" s="64" t="str">
        <f t="shared" si="38"/>
        <v xml:space="preserve">     Nº patentes de 7 Coautores</v>
      </c>
      <c r="C159" s="124">
        <f>C$156*(Coau/(Coau+3))</f>
        <v>4.5714285714285712</v>
      </c>
      <c r="D159" s="149"/>
      <c r="E159" s="150"/>
      <c r="F159" s="150"/>
      <c r="G159" s="151"/>
    </row>
    <row r="160" spans="1:7">
      <c r="A160" s="20"/>
      <c r="B160" s="64" t="str">
        <f t="shared" si="38"/>
        <v xml:space="preserve">     Nº patentes de 8 Coautores</v>
      </c>
      <c r="C160" s="124">
        <f>C$156*(Coau/(Coau+4))</f>
        <v>4</v>
      </c>
      <c r="D160" s="149"/>
      <c r="E160" s="150"/>
      <c r="F160" s="150"/>
      <c r="G160" s="151"/>
    </row>
    <row r="161" spans="1:7">
      <c r="A161" s="20"/>
      <c r="B161" s="64" t="str">
        <f t="shared" si="38"/>
        <v xml:space="preserve">     Nº patentes de 9 Coautores</v>
      </c>
      <c r="C161" s="124">
        <f>C$156*(Coau/(Coau+5))</f>
        <v>3.5555555555555554</v>
      </c>
      <c r="D161" s="149"/>
      <c r="E161" s="150"/>
      <c r="F161" s="150"/>
      <c r="G161" s="151"/>
    </row>
    <row r="162" spans="1:7" ht="15.75" thickBot="1">
      <c r="A162" s="20"/>
      <c r="B162" s="64" t="str">
        <f t="shared" si="38"/>
        <v xml:space="preserve">     Nº patentes de 10 Coautores o más</v>
      </c>
      <c r="C162" s="124">
        <f>C$156*(Coau/(Coau+6))</f>
        <v>3.2</v>
      </c>
      <c r="D162" s="152"/>
      <c r="E162" s="153"/>
      <c r="F162" s="153"/>
      <c r="G162" s="154"/>
    </row>
    <row r="163" spans="1:7" ht="15.75" thickTop="1">
      <c r="A163" s="20" t="s">
        <v>8</v>
      </c>
      <c r="B163" s="64" t="s">
        <v>127</v>
      </c>
      <c r="D163" s="158" t="str">
        <f>IF(SUMPRODUCT($C164:$C170,D164:D170)&gt;0,SUMPRODUCT($C164:$C170,D164:D170),"")</f>
        <v/>
      </c>
      <c r="E163" s="158" t="str">
        <f t="shared" ref="E163:F163" si="39">IF(SUMPRODUCT($C164:$C170,E164:E170)&gt;0,SUMPRODUCT($C164:$C170,E164:E170),"")</f>
        <v/>
      </c>
      <c r="F163" s="158" t="str">
        <f t="shared" si="39"/>
        <v/>
      </c>
      <c r="G163" s="158" t="str">
        <f>IF(SUMPRODUCT($C164:$C170,G164:G170)&gt;0,SUMPRODUCT($C164:$C170,G164:G170),"")</f>
        <v/>
      </c>
    </row>
    <row r="164" spans="1:7">
      <c r="A164" s="20"/>
      <c r="B164" s="64" t="str">
        <f>B140</f>
        <v xml:space="preserve">     Nº patentes de 4 Coautores como máximo</v>
      </c>
      <c r="C164" s="105">
        <v>3</v>
      </c>
      <c r="D164" s="146"/>
      <c r="E164" s="147"/>
      <c r="F164" s="147"/>
      <c r="G164" s="148"/>
    </row>
    <row r="165" spans="1:7">
      <c r="A165" s="20"/>
      <c r="B165" s="64" t="str">
        <f t="shared" ref="B165:B170" si="40">B141</f>
        <v xml:space="preserve">     Nº patentes de 5 Coautores</v>
      </c>
      <c r="C165" s="124">
        <f>C$164*(Coau/(Coau+1))</f>
        <v>2.4000000000000004</v>
      </c>
      <c r="D165" s="149"/>
      <c r="E165" s="150"/>
      <c r="F165" s="150"/>
      <c r="G165" s="151"/>
    </row>
    <row r="166" spans="1:7">
      <c r="A166" s="20"/>
      <c r="B166" s="64" t="str">
        <f t="shared" si="40"/>
        <v xml:space="preserve">     Nº patentes de 6 Coautores</v>
      </c>
      <c r="C166" s="124">
        <f>C$164*(Coau/(Coau+2))</f>
        <v>2</v>
      </c>
      <c r="D166" s="149"/>
      <c r="E166" s="150"/>
      <c r="F166" s="150"/>
      <c r="G166" s="151"/>
    </row>
    <row r="167" spans="1:7">
      <c r="A167" s="20"/>
      <c r="B167" s="64" t="str">
        <f t="shared" si="40"/>
        <v xml:space="preserve">     Nº patentes de 7 Coautores</v>
      </c>
      <c r="C167" s="124">
        <f>C$164*(Coau/(Coau+3))</f>
        <v>1.7142857142857142</v>
      </c>
      <c r="D167" s="149"/>
      <c r="E167" s="150"/>
      <c r="F167" s="150"/>
      <c r="G167" s="151"/>
    </row>
    <row r="168" spans="1:7">
      <c r="A168" s="20"/>
      <c r="B168" s="64" t="str">
        <f t="shared" si="40"/>
        <v xml:space="preserve">     Nº patentes de 8 Coautores</v>
      </c>
      <c r="C168" s="124">
        <f>C$164*(Coau/(Coau+4))</f>
        <v>1.5</v>
      </c>
      <c r="D168" s="149"/>
      <c r="E168" s="150"/>
      <c r="F168" s="150"/>
      <c r="G168" s="151"/>
    </row>
    <row r="169" spans="1:7">
      <c r="A169" s="20"/>
      <c r="B169" s="64" t="str">
        <f t="shared" si="40"/>
        <v xml:space="preserve">     Nº patentes de 9 Coautores</v>
      </c>
      <c r="C169" s="124">
        <f>C$164*(Coau/(Coau+5))</f>
        <v>1.3333333333333333</v>
      </c>
      <c r="D169" s="149"/>
      <c r="E169" s="150"/>
      <c r="F169" s="150"/>
      <c r="G169" s="151"/>
    </row>
    <row r="170" spans="1:7" ht="15.75" thickBot="1">
      <c r="A170" s="20"/>
      <c r="B170" s="64" t="str">
        <f t="shared" si="40"/>
        <v xml:space="preserve">     Nº patentes de 10 Coautores o más</v>
      </c>
      <c r="C170" s="124">
        <f>C$164*(Coau/(Coau+6))</f>
        <v>1.2000000000000002</v>
      </c>
      <c r="D170" s="152"/>
      <c r="E170" s="153"/>
      <c r="F170" s="153"/>
      <c r="G170" s="154"/>
    </row>
    <row r="171" spans="1:7" ht="15.75" thickTop="1">
      <c r="A171" s="20" t="s">
        <v>60</v>
      </c>
      <c r="B171" s="64" t="s">
        <v>128</v>
      </c>
      <c r="D171" s="158" t="str">
        <f>IF(SUMPRODUCT($C172:$C178,D172:D178)&gt;0,SUMPRODUCT($C172:$C178,D172:D178),"")</f>
        <v/>
      </c>
      <c r="E171" s="158" t="str">
        <f t="shared" ref="E171:F171" si="41">IF(SUMPRODUCT($C172:$C178,E172:E178)&gt;0,SUMPRODUCT($C172:$C178,E172:E178),"")</f>
        <v/>
      </c>
      <c r="F171" s="158" t="str">
        <f t="shared" si="41"/>
        <v/>
      </c>
      <c r="G171" s="158" t="str">
        <f>IF(SUMPRODUCT($C172:$C178,G172:G178)&gt;0,SUMPRODUCT($C172:$C178,G172:G178),"")</f>
        <v/>
      </c>
    </row>
    <row r="172" spans="1:7">
      <c r="A172" s="20"/>
      <c r="B172" s="64" t="str">
        <f>"     Nº prop.intelectuales de " &amp;Coau &amp;" Coautores como máximo"</f>
        <v xml:space="preserve">     Nº prop.intelectuales de 4 Coautores como máximo</v>
      </c>
      <c r="C172" s="105">
        <v>5</v>
      </c>
      <c r="D172" s="146"/>
      <c r="E172" s="147"/>
      <c r="F172" s="147"/>
      <c r="G172" s="148"/>
    </row>
    <row r="173" spans="1:7">
      <c r="A173" s="20"/>
      <c r="B173" s="64" t="str">
        <f>"     Nº prop.intelectuales de " &amp;Coau+1 &amp;" Coautores"</f>
        <v xml:space="preserve">     Nº prop.intelectuales de 5 Coautores</v>
      </c>
      <c r="C173" s="124">
        <f>C$172*(Coau/(Coau+1))</f>
        <v>4</v>
      </c>
      <c r="D173" s="149"/>
      <c r="E173" s="150"/>
      <c r="F173" s="150"/>
      <c r="G173" s="151"/>
    </row>
    <row r="174" spans="1:7">
      <c r="A174" s="20"/>
      <c r="B174" s="64" t="str">
        <f>"     Nº prop.intelectuales de " &amp;Coau+2 &amp;" Coautores"</f>
        <v xml:space="preserve">     Nº prop.intelectuales de 6 Coautores</v>
      </c>
      <c r="C174" s="124">
        <f>C$172*(Coau/(Coau+2))</f>
        <v>3.333333333333333</v>
      </c>
      <c r="D174" s="149"/>
      <c r="E174" s="150"/>
      <c r="F174" s="150"/>
      <c r="G174" s="151"/>
    </row>
    <row r="175" spans="1:7">
      <c r="A175" s="20"/>
      <c r="B175" s="64" t="str">
        <f>"     Nº prop.intelectuales de " &amp;Coau+3 &amp;" Coautores"</f>
        <v xml:space="preserve">     Nº prop.intelectuales de 7 Coautores</v>
      </c>
      <c r="C175" s="124">
        <f>C$172*(Coau/(Coau+3))</f>
        <v>2.8571428571428568</v>
      </c>
      <c r="D175" s="149"/>
      <c r="E175" s="150"/>
      <c r="F175" s="150"/>
      <c r="G175" s="151"/>
    </row>
    <row r="176" spans="1:7">
      <c r="A176" s="20"/>
      <c r="B176" s="64" t="str">
        <f>"     Nº prop.intelectuales de " &amp;Coau+4 &amp;" Coautores"</f>
        <v xml:space="preserve">     Nº prop.intelectuales de 8 Coautores</v>
      </c>
      <c r="C176" s="124">
        <f>C$172*(Coau/(Coau+4))</f>
        <v>2.5</v>
      </c>
      <c r="D176" s="149"/>
      <c r="E176" s="150"/>
      <c r="F176" s="150"/>
      <c r="G176" s="151"/>
    </row>
    <row r="177" spans="1:7">
      <c r="A177" s="20"/>
      <c r="B177" s="64" t="str">
        <f>"     Nº prop.intelectuales de " &amp;Coau+5 &amp;" Coautores"</f>
        <v xml:space="preserve">     Nº prop.intelectuales de 9 Coautores</v>
      </c>
      <c r="C177" s="124">
        <f>C$172*(Coau/(Coau+5))</f>
        <v>2.2222222222222223</v>
      </c>
      <c r="D177" s="149"/>
      <c r="E177" s="150"/>
      <c r="F177" s="150"/>
      <c r="G177" s="151"/>
    </row>
    <row r="178" spans="1:7" ht="15.75" thickBot="1">
      <c r="A178" s="20"/>
      <c r="B178" s="64" t="str">
        <f>"     Nº prop.intelectuales de " &amp;Coau+6 &amp;" Coautores o más"</f>
        <v xml:space="preserve">     Nº prop.intelectuales de 10 Coautores o más</v>
      </c>
      <c r="C178" s="124">
        <f>C$172*(Coau/(Coau+6))</f>
        <v>2</v>
      </c>
      <c r="D178" s="152"/>
      <c r="E178" s="153"/>
      <c r="F178" s="153"/>
      <c r="G178" s="154"/>
    </row>
    <row r="179" spans="1:7" ht="15.75" thickTop="1">
      <c r="A179" s="20" t="s">
        <v>61</v>
      </c>
      <c r="B179" s="64" t="s">
        <v>129</v>
      </c>
      <c r="D179" s="158" t="str">
        <f>IF(SUMPRODUCT($C180:$C186,D180:D186)&gt;0,SUMPRODUCT($C180:$C186,D180:D186),"")</f>
        <v/>
      </c>
      <c r="E179" s="158" t="str">
        <f t="shared" ref="E179:F179" si="42">IF(SUMPRODUCT($C180:$C186,E180:E186)&gt;0,SUMPRODUCT($C180:$C186,E180:E186),"")</f>
        <v/>
      </c>
      <c r="F179" s="158" t="str">
        <f t="shared" si="42"/>
        <v/>
      </c>
      <c r="G179" s="158" t="str">
        <f>IF(SUMPRODUCT($C180:$C186,G180:G186)&gt;0,SUMPRODUCT($C180:$C186,G180:G186),"")</f>
        <v/>
      </c>
    </row>
    <row r="180" spans="1:7">
      <c r="A180" s="20"/>
      <c r="B180" s="64" t="str">
        <f>B172</f>
        <v xml:space="preserve">     Nº prop.intelectuales de 4 Coautores como máximo</v>
      </c>
      <c r="C180" s="105">
        <v>2</v>
      </c>
      <c r="D180" s="146"/>
      <c r="E180" s="147"/>
      <c r="F180" s="147"/>
      <c r="G180" s="148"/>
    </row>
    <row r="181" spans="1:7">
      <c r="A181" s="20"/>
      <c r="B181" s="64" t="str">
        <f t="shared" ref="B181:B186" si="43">B173</f>
        <v xml:space="preserve">     Nº prop.intelectuales de 5 Coautores</v>
      </c>
      <c r="C181" s="124">
        <f>C$180*(Coau/(Coau+1))</f>
        <v>1.6</v>
      </c>
      <c r="D181" s="149"/>
      <c r="E181" s="150"/>
      <c r="F181" s="150"/>
      <c r="G181" s="151"/>
    </row>
    <row r="182" spans="1:7">
      <c r="A182" s="20"/>
      <c r="B182" s="64" t="str">
        <f t="shared" si="43"/>
        <v xml:space="preserve">     Nº prop.intelectuales de 6 Coautores</v>
      </c>
      <c r="C182" s="124">
        <f>C$180*(Coau/(Coau+2))</f>
        <v>1.3333333333333333</v>
      </c>
      <c r="D182" s="149"/>
      <c r="E182" s="150"/>
      <c r="F182" s="150"/>
      <c r="G182" s="151"/>
    </row>
    <row r="183" spans="1:7">
      <c r="A183" s="20"/>
      <c r="B183" s="64" t="str">
        <f t="shared" si="43"/>
        <v xml:space="preserve">     Nº prop.intelectuales de 7 Coautores</v>
      </c>
      <c r="C183" s="124">
        <f>C$180*(Coau/(Coau+3))</f>
        <v>1.1428571428571428</v>
      </c>
      <c r="D183" s="149"/>
      <c r="E183" s="150"/>
      <c r="F183" s="150"/>
      <c r="G183" s="151"/>
    </row>
    <row r="184" spans="1:7">
      <c r="A184" s="20"/>
      <c r="B184" s="64" t="str">
        <f t="shared" si="43"/>
        <v xml:space="preserve">     Nº prop.intelectuales de 8 Coautores</v>
      </c>
      <c r="C184" s="124">
        <f>C$180*(Coau/(Coau+4))</f>
        <v>1</v>
      </c>
      <c r="D184" s="149"/>
      <c r="E184" s="150"/>
      <c r="F184" s="150"/>
      <c r="G184" s="151"/>
    </row>
    <row r="185" spans="1:7">
      <c r="A185" s="20"/>
      <c r="B185" s="64" t="str">
        <f t="shared" si="43"/>
        <v xml:space="preserve">     Nº prop.intelectuales de 9 Coautores</v>
      </c>
      <c r="C185" s="124">
        <f>C$180*(Coau/(Coau+5))</f>
        <v>0.88888888888888884</v>
      </c>
      <c r="D185" s="149"/>
      <c r="E185" s="150"/>
      <c r="F185" s="150"/>
      <c r="G185" s="151"/>
    </row>
    <row r="186" spans="1:7" s="129" customFormat="1" ht="15.75" thickBot="1">
      <c r="A186" s="142"/>
      <c r="B186" s="143" t="str">
        <f t="shared" si="43"/>
        <v xml:space="preserve">     Nº prop.intelectuales de 10 Coautores o más</v>
      </c>
      <c r="C186" s="128">
        <f>C$180*(Coau/(Coau+6))</f>
        <v>0.8</v>
      </c>
      <c r="D186" s="152"/>
      <c r="E186" s="153"/>
      <c r="F186" s="153"/>
      <c r="G186" s="154"/>
    </row>
    <row r="187" spans="1:7" ht="17.25" thickTop="1">
      <c r="A187" s="133">
        <v>5</v>
      </c>
      <c r="B187" s="134" t="s">
        <v>81</v>
      </c>
    </row>
    <row r="188" spans="1:7">
      <c r="A188" s="21" t="s">
        <v>82</v>
      </c>
      <c r="B188" s="101" t="s">
        <v>83</v>
      </c>
      <c r="D188" s="77" t="str">
        <f>IF(SUMPRODUCT($C189:$C195,D189:D195)&gt;0,SUMPRODUCT($C189:$C195,D189:D195),"")</f>
        <v/>
      </c>
      <c r="E188" s="77" t="str">
        <f t="shared" ref="E188:G188" si="44">IF(SUMPRODUCT($C189:$C195,E189:E195)&gt;0,SUMPRODUCT($C189:$C195,E189:E195),"")</f>
        <v/>
      </c>
      <c r="F188" s="77" t="str">
        <f t="shared" si="44"/>
        <v/>
      </c>
      <c r="G188" s="77" t="str">
        <f t="shared" si="44"/>
        <v/>
      </c>
    </row>
    <row r="189" spans="1:7">
      <c r="A189" s="21" t="s">
        <v>5</v>
      </c>
      <c r="B189" s="65" t="s">
        <v>84</v>
      </c>
      <c r="C189" s="70">
        <v>10</v>
      </c>
      <c r="D189" s="78"/>
      <c r="E189" s="79"/>
      <c r="F189" s="79"/>
      <c r="G189" s="80"/>
    </row>
    <row r="190" spans="1:7">
      <c r="A190" s="21" t="s">
        <v>6</v>
      </c>
      <c r="B190" s="65" t="s">
        <v>85</v>
      </c>
      <c r="C190" s="70">
        <v>3</v>
      </c>
      <c r="D190" s="81"/>
      <c r="E190" s="82"/>
      <c r="F190" s="82"/>
      <c r="G190" s="83"/>
    </row>
    <row r="191" spans="1:7">
      <c r="A191" s="21" t="s">
        <v>7</v>
      </c>
      <c r="B191" s="65" t="s">
        <v>86</v>
      </c>
      <c r="C191" s="70">
        <v>5</v>
      </c>
      <c r="D191" s="81"/>
      <c r="E191" s="82"/>
      <c r="F191" s="82"/>
      <c r="G191" s="83"/>
    </row>
    <row r="192" spans="1:7">
      <c r="A192" s="21" t="s">
        <v>8</v>
      </c>
      <c r="B192" s="65" t="s">
        <v>87</v>
      </c>
      <c r="C192" s="70">
        <v>2</v>
      </c>
      <c r="D192" s="81"/>
      <c r="E192" s="82"/>
      <c r="F192" s="82"/>
      <c r="G192" s="83"/>
    </row>
    <row r="193" spans="1:7">
      <c r="A193" s="21" t="s">
        <v>60</v>
      </c>
      <c r="B193" s="65" t="s">
        <v>88</v>
      </c>
      <c r="C193" s="70">
        <v>1</v>
      </c>
      <c r="D193" s="81"/>
      <c r="E193" s="82"/>
      <c r="F193" s="82"/>
      <c r="G193" s="83"/>
    </row>
    <row r="194" spans="1:7">
      <c r="A194" s="21" t="s">
        <v>61</v>
      </c>
      <c r="B194" s="48" t="s">
        <v>89</v>
      </c>
      <c r="C194" s="70">
        <v>0.5</v>
      </c>
      <c r="D194" s="81"/>
      <c r="E194" s="82"/>
      <c r="F194" s="82"/>
      <c r="G194" s="83"/>
    </row>
    <row r="195" spans="1:7">
      <c r="A195" s="21" t="s">
        <v>104</v>
      </c>
      <c r="B195" s="48" t="s">
        <v>130</v>
      </c>
      <c r="C195" s="70">
        <v>0.1</v>
      </c>
      <c r="D195" s="84"/>
      <c r="E195" s="85"/>
      <c r="F195" s="85"/>
      <c r="G195" s="86"/>
    </row>
    <row r="196" spans="1:7">
      <c r="A196" s="21"/>
      <c r="B196" s="101" t="s">
        <v>157</v>
      </c>
      <c r="D196" s="88" t="str">
        <f>IF((N(D197)+N(D205)+N(D213))&gt;0,N(D197)+N(D205)+N(D213),"")</f>
        <v/>
      </c>
      <c r="E196" s="88" t="str">
        <f t="shared" ref="E196:G196" si="45">IF((N(E197)+N(E205)+N(E213))&gt;0,N(E197)+N(E205)+N(E213),"")</f>
        <v/>
      </c>
      <c r="F196" s="88" t="str">
        <f t="shared" si="45"/>
        <v/>
      </c>
      <c r="G196" s="88" t="str">
        <f t="shared" si="45"/>
        <v/>
      </c>
    </row>
    <row r="197" spans="1:7">
      <c r="A197" s="21" t="s">
        <v>105</v>
      </c>
      <c r="B197" s="66" t="s">
        <v>90</v>
      </c>
      <c r="D197" s="97" t="str">
        <f>IF(SUMPRODUCT($C198:$C204,D198:D204)&gt;0,SUMPRODUCT($C198:$C204,D198:D204),"")</f>
        <v/>
      </c>
      <c r="E197" s="97" t="str">
        <f t="shared" ref="E197:F197" si="46">IF(SUMPRODUCT($C198:$C204,E198:E204)&gt;0,SUMPRODUCT($C198:$C204,E198:E204),"")</f>
        <v/>
      </c>
      <c r="F197" s="97" t="str">
        <f t="shared" si="46"/>
        <v/>
      </c>
      <c r="G197" s="97" t="str">
        <f>IF(SUMPRODUCT($C198:$C204,G198:G204)&gt;0,SUMPRODUCT($C198:$C204,G198:G204),"")</f>
        <v/>
      </c>
    </row>
    <row r="198" spans="1:7">
      <c r="A198" s="21"/>
      <c r="B198" s="48" t="str">
        <f>"     Nº Comisionados de " &amp;Coau &amp;" Coautores como máximo"</f>
        <v xml:space="preserve">     Nº Comisionados de 4 Coautores como máximo</v>
      </c>
      <c r="C198" s="124">
        <f>C189</f>
        <v>10</v>
      </c>
      <c r="D198" s="146"/>
      <c r="E198" s="147"/>
      <c r="F198" s="147"/>
      <c r="G198" s="148"/>
    </row>
    <row r="199" spans="1:7">
      <c r="A199" s="21"/>
      <c r="B199" s="66" t="str">
        <f>"     Nº Comisionados de " &amp;Coau+1 &amp;" Coautores"</f>
        <v xml:space="preserve">     Nº Comisionados de 5 Coautores</v>
      </c>
      <c r="C199" s="124">
        <f>C$198*(Coau/(Coau+1))</f>
        <v>8</v>
      </c>
      <c r="D199" s="149"/>
      <c r="E199" s="150"/>
      <c r="F199" s="150"/>
      <c r="G199" s="151"/>
    </row>
    <row r="200" spans="1:7">
      <c r="A200" s="21"/>
      <c r="B200" s="66" t="str">
        <f>"     Nº Comisionados de " &amp;Coau+2 &amp;" Coautores"</f>
        <v xml:space="preserve">     Nº Comisionados de 6 Coautores</v>
      </c>
      <c r="C200" s="124">
        <f>C$198*(Coau/(Coau+2))</f>
        <v>6.6666666666666661</v>
      </c>
      <c r="D200" s="149"/>
      <c r="E200" s="150"/>
      <c r="F200" s="150"/>
      <c r="G200" s="151"/>
    </row>
    <row r="201" spans="1:7">
      <c r="A201" s="21"/>
      <c r="B201" s="66" t="str">
        <f>"     Nº Comisionados de " &amp;Coau+3 &amp;" Coautores"</f>
        <v xml:space="preserve">     Nº Comisionados de 7 Coautores</v>
      </c>
      <c r="C201" s="124">
        <f>C$198*(Coau/(Coau+3))</f>
        <v>5.7142857142857135</v>
      </c>
      <c r="D201" s="149"/>
      <c r="E201" s="150"/>
      <c r="F201" s="150"/>
      <c r="G201" s="151"/>
    </row>
    <row r="202" spans="1:7">
      <c r="A202" s="21"/>
      <c r="B202" s="66" t="str">
        <f>"     Nº Comisionados de " &amp;Coau+4 &amp;" Coautores"</f>
        <v xml:space="preserve">     Nº Comisionados de 8 Coautores</v>
      </c>
      <c r="C202" s="124">
        <f>C$198*(Coau/(Coau+4))</f>
        <v>5</v>
      </c>
      <c r="D202" s="149"/>
      <c r="E202" s="150"/>
      <c r="F202" s="150"/>
      <c r="G202" s="151"/>
    </row>
    <row r="203" spans="1:7">
      <c r="A203" s="21"/>
      <c r="B203" s="66" t="str">
        <f>"     Nº Comisionados de " &amp;Coau+5 &amp;" Coautores"</f>
        <v xml:space="preserve">     Nº Comisionados de 9 Coautores</v>
      </c>
      <c r="C203" s="124">
        <f>C$198*(Coau/(Coau+5))</f>
        <v>4.4444444444444446</v>
      </c>
      <c r="D203" s="149"/>
      <c r="E203" s="150"/>
      <c r="F203" s="150"/>
      <c r="G203" s="151"/>
    </row>
    <row r="204" spans="1:7" ht="15.75" thickBot="1">
      <c r="A204" s="21"/>
      <c r="B204" s="66" t="str">
        <f>"     Nº Comisionados de " &amp;Coau+6 &amp;" Coautores o más"</f>
        <v xml:space="preserve">     Nº Comisionados de 10 Coautores o más</v>
      </c>
      <c r="C204" s="124">
        <f>C$198*(Coau/(Coau+6))</f>
        <v>4</v>
      </c>
      <c r="D204" s="152"/>
      <c r="E204" s="153"/>
      <c r="F204" s="153"/>
      <c r="G204" s="154"/>
    </row>
    <row r="205" spans="1:7" ht="15.75" thickTop="1">
      <c r="A205" s="21" t="s">
        <v>106</v>
      </c>
      <c r="B205" s="66" t="s">
        <v>91</v>
      </c>
      <c r="D205" s="158" t="str">
        <f>IF(SUMPRODUCT($C206:$C212,D206:D212)&gt;0,SUMPRODUCT($C206:$C212,D206:D212),"")</f>
        <v/>
      </c>
      <c r="E205" s="158" t="str">
        <f t="shared" ref="E205:F205" si="47">IF(SUMPRODUCT($C206:$C212,E206:E212)&gt;0,SUMPRODUCT($C206:$C212,E206:E212),"")</f>
        <v/>
      </c>
      <c r="F205" s="158" t="str">
        <f t="shared" si="47"/>
        <v/>
      </c>
      <c r="G205" s="158" t="str">
        <f>IF(SUMPRODUCT($C206:$C212,G206:G212)&gt;0,SUMPRODUCT($C206:$C212,G206:G212),"")</f>
        <v/>
      </c>
    </row>
    <row r="206" spans="1:7">
      <c r="A206" s="21"/>
      <c r="B206" s="66" t="str">
        <f>B198</f>
        <v xml:space="preserve">     Nº Comisionados de 4 Coautores como máximo</v>
      </c>
      <c r="C206" s="124">
        <f>C191</f>
        <v>5</v>
      </c>
      <c r="D206" s="146"/>
      <c r="E206" s="147"/>
      <c r="F206" s="147"/>
      <c r="G206" s="148"/>
    </row>
    <row r="207" spans="1:7">
      <c r="A207" s="21"/>
      <c r="B207" s="66" t="str">
        <f t="shared" ref="B207:B212" si="48">B199</f>
        <v xml:space="preserve">     Nº Comisionados de 5 Coautores</v>
      </c>
      <c r="C207" s="124">
        <f>C$206*(Coau/(Coau+1))</f>
        <v>4</v>
      </c>
      <c r="D207" s="149"/>
      <c r="E207" s="150"/>
      <c r="F207" s="150"/>
      <c r="G207" s="151"/>
    </row>
    <row r="208" spans="1:7">
      <c r="A208" s="21"/>
      <c r="B208" s="66" t="str">
        <f t="shared" si="48"/>
        <v xml:space="preserve">     Nº Comisionados de 6 Coautores</v>
      </c>
      <c r="C208" s="124">
        <f>C$206*(Coau/(Coau+2))</f>
        <v>3.333333333333333</v>
      </c>
      <c r="D208" s="149"/>
      <c r="E208" s="150"/>
      <c r="F208" s="150"/>
      <c r="G208" s="151"/>
    </row>
    <row r="209" spans="1:7">
      <c r="A209" s="21"/>
      <c r="B209" s="66" t="str">
        <f t="shared" si="48"/>
        <v xml:space="preserve">     Nº Comisionados de 7 Coautores</v>
      </c>
      <c r="C209" s="124">
        <f>C$206*(Coau/(Coau+3))</f>
        <v>2.8571428571428568</v>
      </c>
      <c r="D209" s="149"/>
      <c r="E209" s="150"/>
      <c r="F209" s="150"/>
      <c r="G209" s="151"/>
    </row>
    <row r="210" spans="1:7">
      <c r="A210" s="21"/>
      <c r="B210" s="66" t="str">
        <f t="shared" si="48"/>
        <v xml:space="preserve">     Nº Comisionados de 8 Coautores</v>
      </c>
      <c r="C210" s="124">
        <f>C$206*(Coau/(Coau+4))</f>
        <v>2.5</v>
      </c>
      <c r="D210" s="149"/>
      <c r="E210" s="150"/>
      <c r="F210" s="150"/>
      <c r="G210" s="151"/>
    </row>
    <row r="211" spans="1:7">
      <c r="A211" s="21"/>
      <c r="B211" s="66" t="str">
        <f t="shared" si="48"/>
        <v xml:space="preserve">     Nº Comisionados de 9 Coautores</v>
      </c>
      <c r="C211" s="124">
        <f>C$206*(Coau/(Coau+5))</f>
        <v>2.2222222222222223</v>
      </c>
      <c r="D211" s="149"/>
      <c r="E211" s="150"/>
      <c r="F211" s="150"/>
      <c r="G211" s="151"/>
    </row>
    <row r="212" spans="1:7" ht="15.75" thickBot="1">
      <c r="A212" s="21"/>
      <c r="B212" s="66" t="str">
        <f t="shared" si="48"/>
        <v xml:space="preserve">     Nº Comisionados de 10 Coautores o más</v>
      </c>
      <c r="C212" s="124">
        <f>C$206*(Coau/(Coau+6))</f>
        <v>2</v>
      </c>
      <c r="D212" s="152"/>
      <c r="E212" s="153"/>
      <c r="F212" s="153"/>
      <c r="G212" s="154"/>
    </row>
    <row r="213" spans="1:7" ht="15.75" thickTop="1">
      <c r="A213" s="21" t="s">
        <v>107</v>
      </c>
      <c r="B213" s="66" t="s">
        <v>92</v>
      </c>
      <c r="D213" s="97" t="str">
        <f>IF(SUMPRODUCT($C214:$C220,D214:D220)&gt;0,SUMPRODUCT($C214:$C220,D214:D220),"")</f>
        <v/>
      </c>
      <c r="E213" s="97" t="str">
        <f t="shared" ref="E213:F213" si="49">IF(SUMPRODUCT($C214:$C220,E214:E220)&gt;0,SUMPRODUCT($C214:$C220,E214:E220),"")</f>
        <v/>
      </c>
      <c r="F213" s="97" t="str">
        <f t="shared" si="49"/>
        <v/>
      </c>
      <c r="G213" s="97" t="str">
        <f>IF(SUMPRODUCT($C214:$C220,G214:G220)&gt;0,SUMPRODUCT($C214:$C220,G214:G220),"")</f>
        <v/>
      </c>
    </row>
    <row r="214" spans="1:7">
      <c r="A214" s="21"/>
      <c r="B214" s="66" t="str">
        <f>B198</f>
        <v xml:space="preserve">     Nº Comisionados de 4 Coautores como máximo</v>
      </c>
      <c r="C214" s="124">
        <f>C193</f>
        <v>1</v>
      </c>
      <c r="D214" s="146"/>
      <c r="E214" s="147"/>
      <c r="F214" s="147"/>
      <c r="G214" s="148"/>
    </row>
    <row r="215" spans="1:7">
      <c r="A215" s="21"/>
      <c r="B215" s="66" t="str">
        <f t="shared" ref="B215:B220" si="50">B199</f>
        <v xml:space="preserve">     Nº Comisionados de 5 Coautores</v>
      </c>
      <c r="C215" s="124">
        <f>C$214*(Coau/(Coau+1))</f>
        <v>0.8</v>
      </c>
      <c r="D215" s="149"/>
      <c r="E215" s="150"/>
      <c r="F215" s="150"/>
      <c r="G215" s="151"/>
    </row>
    <row r="216" spans="1:7">
      <c r="A216" s="21"/>
      <c r="B216" s="66" t="str">
        <f t="shared" si="50"/>
        <v xml:space="preserve">     Nº Comisionados de 6 Coautores</v>
      </c>
      <c r="C216" s="124">
        <f>C$214*(Coau/(Coau+2))</f>
        <v>0.66666666666666663</v>
      </c>
      <c r="D216" s="149"/>
      <c r="E216" s="150"/>
      <c r="F216" s="150"/>
      <c r="G216" s="151"/>
    </row>
    <row r="217" spans="1:7">
      <c r="A217" s="21"/>
      <c r="B217" s="66" t="str">
        <f t="shared" si="50"/>
        <v xml:space="preserve">     Nº Comisionados de 7 Coautores</v>
      </c>
      <c r="C217" s="124">
        <f>C$214*(Coau/(Coau+3))</f>
        <v>0.5714285714285714</v>
      </c>
      <c r="D217" s="149"/>
      <c r="E217" s="150"/>
      <c r="F217" s="150"/>
      <c r="G217" s="151"/>
    </row>
    <row r="218" spans="1:7">
      <c r="A218" s="21"/>
      <c r="B218" s="66" t="str">
        <f t="shared" si="50"/>
        <v xml:space="preserve">     Nº Comisionados de 8 Coautores</v>
      </c>
      <c r="C218" s="124">
        <f>C$214*(Coau/(Coau+4))</f>
        <v>0.5</v>
      </c>
      <c r="D218" s="149"/>
      <c r="E218" s="150"/>
      <c r="F218" s="150"/>
      <c r="G218" s="151"/>
    </row>
    <row r="219" spans="1:7">
      <c r="A219" s="21"/>
      <c r="B219" s="66" t="str">
        <f t="shared" si="50"/>
        <v xml:space="preserve">     Nº Comisionados de 9 Coautores</v>
      </c>
      <c r="C219" s="124">
        <f>C$214*(Coau/(Coau+5))</f>
        <v>0.44444444444444442</v>
      </c>
      <c r="D219" s="149"/>
      <c r="E219" s="150"/>
      <c r="F219" s="150"/>
      <c r="G219" s="151"/>
    </row>
    <row r="220" spans="1:7" ht="15.75" thickBot="1">
      <c r="A220" s="21"/>
      <c r="B220" s="66" t="str">
        <f t="shared" si="50"/>
        <v xml:space="preserve">     Nº Comisionados de 10 Coautores o más</v>
      </c>
      <c r="C220" s="124">
        <f>C$214*(Coau/(Coau+6))</f>
        <v>0.4</v>
      </c>
      <c r="D220" s="152"/>
      <c r="E220" s="153"/>
      <c r="F220" s="153"/>
      <c r="G220" s="154"/>
    </row>
    <row r="221" spans="1:7" ht="15.75" thickTop="1">
      <c r="A221" s="21" t="s">
        <v>94</v>
      </c>
      <c r="B221" s="101" t="s">
        <v>158</v>
      </c>
      <c r="D221" s="158" t="str">
        <f>IF(SUMPRODUCT($C222:$C228,D222:D228)&gt;0,IF(SUMPRODUCT($C222:$C228,D222:D228)&gt;10,10,SUMPRODUCT($C222:$C228,D222:D228)),"")</f>
        <v/>
      </c>
      <c r="E221" s="158" t="str">
        <f t="shared" ref="E221:G221" si="51">IF(SUMPRODUCT($C222:$C228,E222:E228)&gt;0,IF(SUMPRODUCT($C222:$C228,E222:E228)&gt;10,10,SUMPRODUCT($C222:$C228,E222:E228)),"")</f>
        <v/>
      </c>
      <c r="F221" s="158" t="str">
        <f t="shared" si="51"/>
        <v/>
      </c>
      <c r="G221" s="158" t="str">
        <f t="shared" si="51"/>
        <v/>
      </c>
    </row>
    <row r="222" spans="1:7">
      <c r="A222" s="21"/>
      <c r="B222" s="48" t="str">
        <f>"     Nº creaciones de " &amp;Coau &amp;" Coautores como máximo"</f>
        <v xml:space="preserve">     Nº creaciones de 4 Coautores como máximo</v>
      </c>
      <c r="C222" s="124">
        <v>1</v>
      </c>
      <c r="D222" s="146"/>
      <c r="E222" s="147"/>
      <c r="F222" s="147"/>
      <c r="G222" s="148"/>
    </row>
    <row r="223" spans="1:7">
      <c r="A223" s="21"/>
      <c r="B223" s="66" t="str">
        <f>"     Nº creaciones de " &amp;Coau+1 &amp;" Coautores"</f>
        <v xml:space="preserve">     Nº creaciones de 5 Coautores</v>
      </c>
      <c r="C223" s="124">
        <f>C$222*(Coau/(Coau+1))</f>
        <v>0.8</v>
      </c>
      <c r="D223" s="149"/>
      <c r="E223" s="150"/>
      <c r="F223" s="150"/>
      <c r="G223" s="151"/>
    </row>
    <row r="224" spans="1:7">
      <c r="A224" s="21"/>
      <c r="B224" s="66" t="str">
        <f>"     Nº creaciones de " &amp;Coau+2 &amp;" Coautores"</f>
        <v xml:space="preserve">     Nº creaciones de 6 Coautores</v>
      </c>
      <c r="C224" s="124">
        <f>C$222*(Coau/(Coau+2))</f>
        <v>0.66666666666666663</v>
      </c>
      <c r="D224" s="149"/>
      <c r="E224" s="150"/>
      <c r="F224" s="150"/>
      <c r="G224" s="151"/>
    </row>
    <row r="225" spans="1:7">
      <c r="A225" s="21"/>
      <c r="B225" s="66" t="str">
        <f>"     Nº creaciones de " &amp;Coau+3 &amp;" Coautores"</f>
        <v xml:space="preserve">     Nº creaciones de 7 Coautores</v>
      </c>
      <c r="C225" s="124">
        <f>C$222*(Coau/(Coau+3))</f>
        <v>0.5714285714285714</v>
      </c>
      <c r="D225" s="149"/>
      <c r="E225" s="150"/>
      <c r="F225" s="150"/>
      <c r="G225" s="151"/>
    </row>
    <row r="226" spans="1:7">
      <c r="A226" s="21"/>
      <c r="B226" s="66" t="str">
        <f>"     Nº creaciones de " &amp;Coau+4 &amp;" Coautores"</f>
        <v xml:space="preserve">     Nº creaciones de 8 Coautores</v>
      </c>
      <c r="C226" s="124">
        <f>C$222*(Coau/(Coau+4))</f>
        <v>0.5</v>
      </c>
      <c r="D226" s="149"/>
      <c r="E226" s="150"/>
      <c r="F226" s="150"/>
      <c r="G226" s="151"/>
    </row>
    <row r="227" spans="1:7">
      <c r="A227" s="21"/>
      <c r="B227" s="66" t="str">
        <f>"     Nº creaciones de " &amp;Coau+5 &amp;" Coautores"</f>
        <v xml:space="preserve">     Nº creaciones de 9 Coautores</v>
      </c>
      <c r="C227" s="124">
        <f>C$222*(Coau/(Coau+5))</f>
        <v>0.44444444444444442</v>
      </c>
      <c r="D227" s="149"/>
      <c r="E227" s="150"/>
      <c r="F227" s="150"/>
      <c r="G227" s="151"/>
    </row>
    <row r="228" spans="1:7" s="129" customFormat="1" ht="15.75" thickBot="1">
      <c r="A228" s="163"/>
      <c r="B228" s="145" t="str">
        <f>"     Nº creaciones de " &amp;Coau+6 &amp;" Coautores o más"</f>
        <v xml:space="preserve">     Nº creaciones de 10 Coautores o más</v>
      </c>
      <c r="C228" s="128">
        <f>C$222*(Coau/(Coau+6))</f>
        <v>0.4</v>
      </c>
      <c r="D228" s="152"/>
      <c r="E228" s="153"/>
      <c r="F228" s="153"/>
      <c r="G228" s="154"/>
    </row>
    <row r="229" spans="1:7" ht="17.25" thickTop="1">
      <c r="A229" s="133"/>
      <c r="B229" s="134"/>
      <c r="D229" s="97"/>
      <c r="E229" s="97"/>
      <c r="F229" s="97"/>
      <c r="G229" s="97"/>
    </row>
    <row r="230" spans="1:7">
      <c r="A230" s="22">
        <v>6</v>
      </c>
      <c r="B230" s="103" t="s">
        <v>164</v>
      </c>
      <c r="D230" s="77" t="str">
        <f>IF(SUMPRODUCT($C231:$C236,D231:D236)&gt;0,SUMPRODUCT($C231:$C236,D231:D236),"")</f>
        <v/>
      </c>
      <c r="E230" s="77" t="str">
        <f>IF(SUMPRODUCT($C231:$C236,E231:E236)&gt;0,SUMPRODUCT($C231:$C236,E231:E236),"")</f>
        <v/>
      </c>
      <c r="F230" s="77" t="str">
        <f t="shared" ref="F230:G230" si="52">IF(SUMPRODUCT($C231:$C236,F231:F236)&gt;0,SUMPRODUCT($C231:$C236,F231:F236),"")</f>
        <v/>
      </c>
      <c r="G230" s="77" t="str">
        <f t="shared" si="52"/>
        <v/>
      </c>
    </row>
    <row r="231" spans="1:7">
      <c r="A231" s="22" t="s">
        <v>5</v>
      </c>
      <c r="B231" s="49" t="s">
        <v>95</v>
      </c>
      <c r="C231" s="70">
        <v>8</v>
      </c>
      <c r="D231" s="78"/>
      <c r="E231" s="79"/>
      <c r="F231" s="79"/>
      <c r="G231" s="80"/>
    </row>
    <row r="232" spans="1:7">
      <c r="A232" s="22" t="s">
        <v>6</v>
      </c>
      <c r="B232" s="49" t="s">
        <v>96</v>
      </c>
      <c r="C232" s="70">
        <v>6</v>
      </c>
      <c r="D232" s="81"/>
      <c r="E232" s="82"/>
      <c r="F232" s="82"/>
      <c r="G232" s="83"/>
    </row>
    <row r="233" spans="1:7">
      <c r="A233" s="23" t="s">
        <v>7</v>
      </c>
      <c r="B233" s="49" t="s">
        <v>97</v>
      </c>
      <c r="C233" s="70">
        <v>3</v>
      </c>
      <c r="D233" s="81"/>
      <c r="E233" s="82"/>
      <c r="F233" s="82"/>
      <c r="G233" s="83"/>
    </row>
    <row r="234" spans="1:7">
      <c r="A234" s="23" t="s">
        <v>8</v>
      </c>
      <c r="B234" s="49" t="s">
        <v>98</v>
      </c>
      <c r="C234" s="70">
        <v>1.5</v>
      </c>
      <c r="D234" s="81"/>
      <c r="E234" s="82"/>
      <c r="F234" s="82"/>
      <c r="G234" s="83"/>
    </row>
    <row r="235" spans="1:7">
      <c r="A235" s="23" t="s">
        <v>60</v>
      </c>
      <c r="B235" s="49" t="s">
        <v>99</v>
      </c>
      <c r="C235" s="141">
        <v>3</v>
      </c>
      <c r="D235" s="81"/>
      <c r="E235" s="82"/>
      <c r="F235" s="82"/>
      <c r="G235" s="83"/>
    </row>
    <row r="236" spans="1:7">
      <c r="A236" s="23" t="s">
        <v>61</v>
      </c>
      <c r="B236" s="49" t="s">
        <v>159</v>
      </c>
      <c r="C236" s="141">
        <v>4</v>
      </c>
      <c r="D236" s="84"/>
      <c r="E236" s="85"/>
      <c r="F236" s="85"/>
      <c r="G236" s="86"/>
    </row>
    <row r="237" spans="1:7">
      <c r="A237" s="24"/>
      <c r="B237" s="104"/>
      <c r="D237" s="124"/>
      <c r="E237" s="124"/>
      <c r="F237" s="124"/>
      <c r="G237" s="124"/>
    </row>
    <row r="238" spans="1:7">
      <c r="A238" s="24"/>
      <c r="B238" s="50"/>
      <c r="D238" s="98"/>
      <c r="E238" s="99"/>
      <c r="F238" s="99"/>
      <c r="G238" s="100"/>
    </row>
    <row r="241" spans="2:2" ht="15.75">
      <c r="B241" s="164"/>
    </row>
  </sheetData>
  <sheetProtection password="C522" sheet="1" objects="1" scenarios="1"/>
  <dataConsolidate/>
  <mergeCells count="3">
    <mergeCell ref="D9:G9"/>
    <mergeCell ref="L7:O7"/>
    <mergeCell ref="D6:G6"/>
  </mergeCells>
  <phoneticPr fontId="4" type="noConversion"/>
  <dataValidations count="34">
    <dataValidation type="whole" allowBlank="1" showInputMessage="1" showErrorMessage="1" prompt="Valor entre 0 y 6" sqref="C12">
      <formula1>0</formula1>
      <formula2>6</formula2>
    </dataValidation>
    <dataValidation type="whole" allowBlank="1" showInputMessage="1" showErrorMessage="1" prompt="Si cumple con esta actividad seleccione el valor 1" sqref="D231:G236">
      <formula1>0</formula1>
      <formula2>1</formula2>
    </dataValidation>
    <dataValidation allowBlank="1" showInputMessage="1" showErrorMessage="1" prompt="Euros" sqref="D40:G40"/>
    <dataValidation allowBlank="1" showInputMessage="1" showErrorMessage="1" prompt="Número Empresas ese año" sqref="D42:G49"/>
    <dataValidation allowBlank="1" showInputMessage="1" showErrorMessage="1" prompt="Nº artículos Nivel 1 ese año y s/nº coautores." sqref="D54:G59"/>
    <dataValidation allowBlank="1" showInputMessage="1" showErrorMessage="1" prompt="Nº artículos Nivel &quot;Otros&quot; ese año y s/nº coautores." sqref="D78:G83"/>
    <dataValidation allowBlank="1" showInputMessage="1" showErrorMessage="1" prompt="Nº artículos Nivel 2 ese año y s/nº coautores." sqref="D62:G67"/>
    <dataValidation allowBlank="1" showInputMessage="1" showErrorMessage="1" prompt="Nº artículos Nivel 3 ese año y s/nº coautores." sqref="D70:G75"/>
    <dataValidation allowBlank="1" showInputMessage="1" showErrorMessage="1" prompt="Nº Contribuciones Internacionales s/nº coautores" sqref="D87:G92"/>
    <dataValidation allowBlank="1" showInputMessage="1" showErrorMessage="1" prompt="Nº Contribuciones nacionales s/nº coautores" sqref="D95:G100"/>
    <dataValidation allowBlank="1" showInputMessage="1" showErrorMessage="1" prompt="Nº artículos Nivel &quot;Otros&quot; ese año y s/nº coautores._x000d_Puede incluir también aportaciones comité editorial" sqref="D77:G77"/>
    <dataValidation allowBlank="1" showInputMessage="1" showErrorMessage="1" prompt="Nº artículos Nivel 3 ese año y s/nº coautores._x000d_Puede incluir también aportaciones comité editorial" sqref="D69:G69"/>
    <dataValidation allowBlank="1" showInputMessage="1" showErrorMessage="1" prompt="Nº artículos Nivel 2 ese año y s/nº coautores._x000d_Puede incluir también aportaciones comité editorial" sqref="D61:G61"/>
    <dataValidation allowBlank="1" showInputMessage="1" showErrorMessage="1" prompt="Nº artículos Nivel 1 ese año y s/nº coautores._x000d_Puede incluir también aportaciones comité editorial" sqref="D53:G53"/>
    <dataValidation allowBlank="1" showInputMessage="1" showErrorMessage="1" prompt="Nº Contribuciones Internacionales s/nº coautores._x000d_Puede incluir también aportaciones comité científico" sqref="D86:G86"/>
    <dataValidation allowBlank="1" showInputMessage="1" showErrorMessage="1" prompt="Nº Contribuciones nacionales s/nº coautores._x000d_Puede incluir también aportaciones comité científico" sqref="D94:G94"/>
    <dataValidation allowBlank="1" showInputMessage="1" showErrorMessage="1" prompt="Nº Libros Prestigio s/nº coautores." sqref="D103:G109"/>
    <dataValidation allowBlank="1" showInputMessage="1" showErrorMessage="1" prompt="Nº Libros Otras s/nº coautores._x000d_" sqref="D111:G117"/>
    <dataValidation allowBlank="1" showInputMessage="1" showErrorMessage="1" prompt="Nº capítulos de Libros de prestigio s/nº coautores._x000d_Puede incluir también aportaciones como editor" sqref="D119:G119"/>
    <dataValidation allowBlank="1" showInputMessage="1" showErrorMessage="1" prompt="Nº capítulos de Libros de prestigio s/nº coautores." sqref="D120:G125"/>
    <dataValidation allowBlank="1" showInputMessage="1" showErrorMessage="1" prompt="Nº capítulos de Libros Otras s/nº coautores._x000d_Puede incluir también aportaciones como editor" sqref="D127:G127"/>
    <dataValidation allowBlank="1" showInputMessage="1" showErrorMessage="1" prompt="Nº capítulos de Libros otras s/nº coautores." sqref="D128:G133"/>
    <dataValidation allowBlank="1" showInputMessage="1" showErrorMessage="1" prompt="Nº patentes Internacionales UJA s/nº autores" sqref="D140:G146"/>
    <dataValidation allowBlank="1" showInputMessage="1" showErrorMessage="1" prompt="Nº patentes Internacionales NO UJA s/nº autores" sqref="D148:G154"/>
    <dataValidation allowBlank="1" showInputMessage="1" showErrorMessage="1" prompt="Nº patentes Nacionales UJA s/nº autores" sqref="D156:G162"/>
    <dataValidation allowBlank="1" showInputMessage="1" showErrorMessage="1" prompt="Nº patentes Nacionales NO UJA s/nº autores" sqref="D164:G170"/>
    <dataValidation allowBlank="1" showInputMessage="1" showErrorMessage="1" prompt="Nº Registros UJA s/nº autores" sqref="D172:G178"/>
    <dataValidation allowBlank="1" showInputMessage="1" showErrorMessage="1" prompt="Nº Registros NO UJA s/nº autores" sqref="D180:G186"/>
    <dataValidation allowBlank="1" showInputMessage="1" showErrorMessage="1" prompt="Nº Exposiciones" sqref="D189:G195"/>
    <dataValidation allowBlank="1" showInputMessage="1" showErrorMessage="1" prompt="Nº Comisionados Internacionales s/nº autores" sqref="D198:G204"/>
    <dataValidation allowBlank="1" showInputMessage="1" showErrorMessage="1" prompt="Nº Comisionados Otros s/nº autores" sqref="D214:G220"/>
    <dataValidation allowBlank="1" showInputMessage="1" showErrorMessage="1" prompt="Nº Comisionados Nacionales s/nº autores" sqref="D206:G212"/>
    <dataValidation allowBlank="1" showInputMessage="1" showErrorMessage="1" prompt="Nº Craciones Otro tipo s/nº autores" sqref="D222:G228"/>
    <dataValidation allowBlank="1" showInputMessage="1" showErrorMessage="1" prompt="Euros" sqref="D35:G36 D38:G38"/>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Elija el área en la lista desplegable">
          <x14:formula1>
            <xm:f>Campos!$C$3:$C$7</xm:f>
          </x14:formula1>
          <xm:sqref>B10</xm:sqref>
        </x14:dataValidation>
        <x14:dataValidation type="whole" allowBlank="1" showInputMessage="1" showErrorMessage="1">
          <x14:formula1>
            <xm:f>1</xm:f>
          </x14:formula1>
          <x14:formula2>
            <xm:f>Campos!$D$41</xm:f>
          </x14:formula2>
          <xm:sqref>D135:G137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election activeCell="E15" sqref="E15"/>
    </sheetView>
  </sheetViews>
  <sheetFormatPr baseColWidth="10" defaultRowHeight="15"/>
  <cols>
    <col min="3" max="3" width="19.28515625" bestFit="1" customWidth="1"/>
    <col min="4" max="4" width="11.140625" bestFit="1" customWidth="1"/>
    <col min="7" max="7" width="16.85546875" customWidth="1"/>
  </cols>
  <sheetData>
    <row r="1" spans="1:14">
      <c r="A1" t="s">
        <v>15</v>
      </c>
    </row>
    <row r="2" spans="1:14">
      <c r="E2" t="s">
        <v>29</v>
      </c>
    </row>
    <row r="3" spans="1:14" ht="15.75">
      <c r="B3" t="s">
        <v>16</v>
      </c>
      <c r="C3" s="27" t="s">
        <v>35</v>
      </c>
      <c r="D3" s="28">
        <v>15000</v>
      </c>
      <c r="E3" s="33">
        <f ca="1">TODAY()</f>
        <v>42339</v>
      </c>
      <c r="G3" s="34">
        <v>100000000</v>
      </c>
      <c r="H3" s="35">
        <v>20</v>
      </c>
      <c r="J3" s="40">
        <f>INDEX(ProyPond,MATCH(Resumen!D35,ProyCant,-1))</f>
        <v>0</v>
      </c>
      <c r="K3" s="41">
        <f>INDEX(ProyPond,MATCH(Resumen!E35,ProyCant,-1))</f>
        <v>0</v>
      </c>
      <c r="L3" s="41">
        <f>INDEX(ProyPond,MATCH(Resumen!F35,ProyCant,-1))</f>
        <v>0</v>
      </c>
      <c r="M3" s="42">
        <f>INDEX(ProyPond,MATCH(Resumen!G35,ProyCant,-1))</f>
        <v>0</v>
      </c>
      <c r="N3">
        <f>SUM(J3:M3)</f>
        <v>0</v>
      </c>
    </row>
    <row r="4" spans="1:14" ht="15.75">
      <c r="B4" t="s">
        <v>17</v>
      </c>
      <c r="C4" s="29" t="s">
        <v>36</v>
      </c>
      <c r="D4" s="30">
        <v>15000</v>
      </c>
      <c r="G4" s="36">
        <v>150000</v>
      </c>
      <c r="H4" s="37">
        <v>16</v>
      </c>
      <c r="J4" s="43">
        <f>(INDEX(ProyPond,MATCH(Resumen!D36,ProyCant,-1))/2)</f>
        <v>0</v>
      </c>
      <c r="K4" s="44">
        <f>(INDEX(ProyPond,MATCH(Resumen!E36,ProyCant,-1))/2)</f>
        <v>0</v>
      </c>
      <c r="L4" s="44">
        <f>(INDEX(ProyPond,MATCH(Resumen!F36,ProyCant,-1))/2)</f>
        <v>0</v>
      </c>
      <c r="M4" s="45">
        <f>(INDEX(ProyPond,MATCH(Resumen!G36,ProyCant,-1))/2)</f>
        <v>0</v>
      </c>
      <c r="N4">
        <f>SUM(J4:M4)</f>
        <v>0</v>
      </c>
    </row>
    <row r="5" spans="1:14" ht="15.75">
      <c r="B5" t="s">
        <v>18</v>
      </c>
      <c r="C5" s="29" t="s">
        <v>37</v>
      </c>
      <c r="D5" s="30">
        <v>15000</v>
      </c>
      <c r="G5" s="36">
        <v>100000</v>
      </c>
      <c r="H5" s="37">
        <v>12</v>
      </c>
      <c r="J5" s="26">
        <f>SUM(J3:J4)</f>
        <v>0</v>
      </c>
      <c r="K5" s="26">
        <f>SUM(K3:K4)</f>
        <v>0</v>
      </c>
      <c r="L5" s="26">
        <f t="shared" ref="L5:M5" si="0">SUM(L3:L4)</f>
        <v>0</v>
      </c>
      <c r="M5" s="26">
        <f t="shared" si="0"/>
        <v>0</v>
      </c>
    </row>
    <row r="6" spans="1:14" ht="15.75">
      <c r="B6" t="s">
        <v>19</v>
      </c>
      <c r="C6" s="29" t="s">
        <v>21</v>
      </c>
      <c r="D6" s="30">
        <f>D3/2</f>
        <v>7500</v>
      </c>
      <c r="G6" s="36">
        <v>75000</v>
      </c>
      <c r="H6" s="37">
        <v>10</v>
      </c>
    </row>
    <row r="7" spans="1:14" ht="15.75">
      <c r="B7" t="s">
        <v>20</v>
      </c>
      <c r="C7" s="31" t="s">
        <v>22</v>
      </c>
      <c r="D7" s="32">
        <f>D4/2</f>
        <v>7500</v>
      </c>
      <c r="G7" s="36">
        <v>50000</v>
      </c>
      <c r="H7" s="37">
        <v>6</v>
      </c>
    </row>
    <row r="8" spans="1:14" ht="15.75">
      <c r="G8" s="36">
        <v>30000</v>
      </c>
      <c r="H8" s="37">
        <v>4</v>
      </c>
    </row>
    <row r="9" spans="1:14" ht="15.75">
      <c r="B9" t="s">
        <v>53</v>
      </c>
      <c r="C9" s="11">
        <v>1</v>
      </c>
      <c r="G9" s="36">
        <v>15000</v>
      </c>
      <c r="H9" s="37">
        <v>3</v>
      </c>
    </row>
    <row r="10" spans="1:14" ht="15.75">
      <c r="C10" s="12">
        <v>2</v>
      </c>
      <c r="G10" s="36">
        <v>7500</v>
      </c>
      <c r="H10" s="37">
        <v>1.5</v>
      </c>
    </row>
    <row r="11" spans="1:14" ht="15.75">
      <c r="C11" s="12">
        <v>3</v>
      </c>
      <c r="G11" s="36">
        <v>2999</v>
      </c>
      <c r="H11" s="37">
        <v>0</v>
      </c>
    </row>
    <row r="12" spans="1:14" ht="15.75">
      <c r="C12" s="13" t="s">
        <v>52</v>
      </c>
      <c r="G12" s="38">
        <v>1</v>
      </c>
      <c r="H12" s="39">
        <v>0</v>
      </c>
    </row>
    <row r="14" spans="1:14">
      <c r="B14" t="s">
        <v>54</v>
      </c>
      <c r="C14" s="11" t="s">
        <v>55</v>
      </c>
    </row>
    <row r="15" spans="1:14">
      <c r="C15" s="12" t="s">
        <v>56</v>
      </c>
    </row>
    <row r="16" spans="1:14">
      <c r="C16" s="12" t="s">
        <v>57</v>
      </c>
    </row>
    <row r="17" spans="2:3">
      <c r="C17" s="13" t="s">
        <v>58</v>
      </c>
    </row>
    <row r="19" spans="2:3">
      <c r="B19" t="s">
        <v>68</v>
      </c>
      <c r="C19" s="11" t="s">
        <v>62</v>
      </c>
    </row>
    <row r="20" spans="2:3">
      <c r="C20" s="12" t="s">
        <v>63</v>
      </c>
    </row>
    <row r="21" spans="2:3">
      <c r="C21" s="12" t="s">
        <v>64</v>
      </c>
    </row>
    <row r="22" spans="2:3">
      <c r="C22" s="12" t="s">
        <v>65</v>
      </c>
    </row>
    <row r="23" spans="2:3">
      <c r="C23" s="12" t="s">
        <v>66</v>
      </c>
    </row>
    <row r="24" spans="2:3">
      <c r="C24" s="13" t="s">
        <v>67</v>
      </c>
    </row>
    <row r="26" spans="2:3">
      <c r="B26" t="s">
        <v>78</v>
      </c>
      <c r="C26" s="11" t="s">
        <v>74</v>
      </c>
    </row>
    <row r="27" spans="2:3">
      <c r="C27" s="12" t="s">
        <v>75</v>
      </c>
    </row>
    <row r="28" spans="2:3">
      <c r="C28" s="12" t="s">
        <v>76</v>
      </c>
    </row>
    <row r="29" spans="2:3">
      <c r="C29" s="12" t="s">
        <v>77</v>
      </c>
    </row>
    <row r="30" spans="2:3">
      <c r="C30" s="12" t="s">
        <v>79</v>
      </c>
    </row>
    <row r="31" spans="2:3">
      <c r="C31" s="13" t="s">
        <v>80</v>
      </c>
    </row>
    <row r="33" spans="2:4">
      <c r="B33" t="s">
        <v>93</v>
      </c>
      <c r="C33" s="11" t="s">
        <v>55</v>
      </c>
    </row>
    <row r="34" spans="2:4">
      <c r="C34" s="12" t="s">
        <v>56</v>
      </c>
    </row>
    <row r="35" spans="2:4">
      <c r="C35" s="13" t="s">
        <v>52</v>
      </c>
    </row>
    <row r="37" spans="2:4">
      <c r="C37" t="s">
        <v>41</v>
      </c>
      <c r="D37" s="5">
        <v>1000</v>
      </c>
    </row>
    <row r="38" spans="2:4">
      <c r="C38" t="s">
        <v>42</v>
      </c>
      <c r="D38" s="5">
        <v>6000</v>
      </c>
    </row>
    <row r="39" spans="2:4">
      <c r="C39" t="s">
        <v>50</v>
      </c>
      <c r="D39">
        <v>3</v>
      </c>
    </row>
    <row r="40" spans="2:4">
      <c r="C40" t="s">
        <v>51</v>
      </c>
      <c r="D40">
        <v>4</v>
      </c>
    </row>
    <row r="41" spans="2:4">
      <c r="C41" t="s">
        <v>71</v>
      </c>
      <c r="D41">
        <v>3</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Resumen</vt:lpstr>
      <vt:lpstr>Campos</vt:lpstr>
      <vt:lpstr>Coau</vt:lpstr>
      <vt:lpstr>Der</vt:lpstr>
      <vt:lpstr>DerB</vt:lpstr>
      <vt:lpstr>FACT</vt:lpstr>
      <vt:lpstr>MainArtic</vt:lpstr>
      <vt:lpstr>MainComis</vt:lpstr>
      <vt:lpstr>MainCongr</vt:lpstr>
      <vt:lpstr>MainLibros</vt:lpstr>
      <vt:lpstr>MainOArt</vt:lpstr>
      <vt:lpstr>MainOtros</vt:lpstr>
      <vt:lpstr>MainPaten</vt:lpstr>
      <vt:lpstr>MainSpin</vt:lpstr>
      <vt:lpstr>ProyCant</vt:lpstr>
      <vt:lpstr>ProyCant2</vt:lpstr>
      <vt:lpstr>ProyPond</vt:lpstr>
      <vt:lpstr>ProyPond2</vt:lpstr>
      <vt:lpstr>Spin</vt:lpstr>
      <vt:lpstr>TablaAreas</vt:lpstr>
      <vt:lpstr>TablArtic</vt:lpstr>
      <vt:lpstr>TopTes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2014-01-29T22:20:39Z</dcterms:created>
  <dcterms:modified xsi:type="dcterms:W3CDTF">2015-12-01T13:00:06Z</dcterms:modified>
</cp:coreProperties>
</file>