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JA\Desktop\ARCHIVAR\INDICADORES 21-07-2019\CRITERIO 8\"/>
    </mc:Choice>
  </mc:AlternateContent>
  <bookViews>
    <workbookView xWindow="0" yWindow="0" windowWidth="28800" windowHeight="11430"/>
  </bookViews>
  <sheets>
    <sheet name="8b15" sheetId="22" r:id="rId1"/>
    <sheet name="Tendencias" sheetId="15" r:id="rId2"/>
    <sheet name="2018" sheetId="23" r:id="rId3"/>
    <sheet name="2017" sheetId="16" r:id="rId4"/>
    <sheet name="2016" sheetId="13" r:id="rId5"/>
    <sheet name="2015" sheetId="17" r:id="rId6"/>
    <sheet name="2014" sheetId="18" r:id="rId7"/>
    <sheet name="2013" sheetId="19" r:id="rId8"/>
    <sheet name="2012" sheetId="20" r:id="rId9"/>
    <sheet name="2011" sheetId="21" r:id="rId10"/>
  </sheets>
  <calcPr calcId="162913"/>
</workbook>
</file>

<file path=xl/calcChain.xml><?xml version="1.0" encoding="utf-8"?>
<calcChain xmlns="http://schemas.openxmlformats.org/spreadsheetml/2006/main">
  <c r="L78" i="22" l="1"/>
  <c r="L77" i="22"/>
  <c r="L37" i="22"/>
  <c r="L38" i="22"/>
  <c r="L39" i="22"/>
  <c r="L40" i="22"/>
  <c r="L36" i="22"/>
  <c r="L4" i="22"/>
  <c r="J77" i="22" l="1"/>
  <c r="I77" i="22"/>
  <c r="C36" i="22"/>
  <c r="I36" i="22"/>
  <c r="I46" i="22" s="1"/>
  <c r="J36" i="22"/>
  <c r="J46" i="22" s="1"/>
  <c r="I47" i="22"/>
  <c r="J47" i="22"/>
  <c r="K38" i="22"/>
  <c r="K40" i="22"/>
  <c r="D39" i="22"/>
  <c r="E39" i="22"/>
  <c r="F39" i="22"/>
  <c r="G39" i="22"/>
  <c r="H39" i="22"/>
  <c r="I39" i="22"/>
  <c r="J39" i="22"/>
  <c r="C39" i="22"/>
  <c r="K36" i="22" l="1"/>
  <c r="E122" i="21"/>
  <c r="E114" i="21"/>
  <c r="E107" i="21"/>
  <c r="C79" i="21"/>
  <c r="F78" i="21"/>
  <c r="E119" i="21" s="1"/>
  <c r="S70" i="21"/>
  <c r="S69" i="21"/>
  <c r="S68" i="21"/>
  <c r="G63" i="21"/>
  <c r="G62" i="21"/>
  <c r="G61" i="21"/>
  <c r="C54" i="21"/>
  <c r="G54" i="21" s="1"/>
  <c r="J54" i="21" s="1"/>
  <c r="C53" i="21"/>
  <c r="G53" i="21" s="1"/>
  <c r="J53" i="21" s="1"/>
  <c r="C52" i="21"/>
  <c r="G52" i="21" s="1"/>
  <c r="J52" i="21" s="1"/>
  <c r="C51" i="21"/>
  <c r="G51" i="21" s="1"/>
  <c r="J51" i="21" s="1"/>
  <c r="C50" i="21"/>
  <c r="G50" i="21" s="1"/>
  <c r="J50" i="21" s="1"/>
  <c r="C49" i="21"/>
  <c r="G49" i="21"/>
  <c r="C44" i="21"/>
  <c r="G44" i="21" s="1"/>
  <c r="J36" i="21"/>
  <c r="G34" i="21"/>
  <c r="G33" i="21"/>
  <c r="G32" i="21"/>
  <c r="G26" i="21"/>
  <c r="J26" i="21"/>
  <c r="G25" i="21"/>
  <c r="J25" i="21" s="1"/>
  <c r="G24" i="21"/>
  <c r="J24" i="21"/>
  <c r="G23" i="21"/>
  <c r="J23" i="21" s="1"/>
  <c r="G22" i="21"/>
  <c r="J22" i="21"/>
  <c r="G21" i="21"/>
  <c r="J21" i="21" s="1"/>
  <c r="G16" i="21"/>
  <c r="G15" i="21"/>
  <c r="G77" i="19"/>
  <c r="G76" i="19"/>
  <c r="G75" i="19"/>
  <c r="D77" i="19"/>
  <c r="D76" i="19"/>
  <c r="D75" i="19"/>
  <c r="E122" i="20"/>
  <c r="E114" i="20"/>
  <c r="E107" i="20"/>
  <c r="C79" i="20"/>
  <c r="G69" i="20" s="1"/>
  <c r="F78" i="20"/>
  <c r="G77" i="20"/>
  <c r="D77" i="20"/>
  <c r="G76" i="20"/>
  <c r="D76" i="20"/>
  <c r="G75" i="20"/>
  <c r="D75" i="20"/>
  <c r="S70" i="20"/>
  <c r="S69" i="20"/>
  <c r="S68" i="20"/>
  <c r="G63" i="20"/>
  <c r="G62" i="20"/>
  <c r="G61" i="20"/>
  <c r="C54" i="20"/>
  <c r="G54" i="20" s="1"/>
  <c r="J54" i="20" s="1"/>
  <c r="C53" i="20"/>
  <c r="G53" i="20" s="1"/>
  <c r="J53" i="20" s="1"/>
  <c r="C52" i="20"/>
  <c r="G52" i="20" s="1"/>
  <c r="J52" i="20" s="1"/>
  <c r="C51" i="20"/>
  <c r="G51" i="20" s="1"/>
  <c r="J51" i="20" s="1"/>
  <c r="C49" i="20"/>
  <c r="G49" i="20"/>
  <c r="C44" i="20"/>
  <c r="G44" i="20" s="1"/>
  <c r="J36" i="20"/>
  <c r="G34" i="20"/>
  <c r="G33" i="20"/>
  <c r="G32" i="20"/>
  <c r="G26" i="20"/>
  <c r="J26" i="20" s="1"/>
  <c r="G25" i="20"/>
  <c r="J25" i="20" s="1"/>
  <c r="G24" i="20"/>
  <c r="J24" i="20" s="1"/>
  <c r="G23" i="20"/>
  <c r="J23" i="20" s="1"/>
  <c r="C50" i="20"/>
  <c r="G50" i="20"/>
  <c r="J50" i="20" s="1"/>
  <c r="G21" i="20"/>
  <c r="J21" i="20" s="1"/>
  <c r="G16" i="20"/>
  <c r="G15" i="20"/>
  <c r="G77" i="18"/>
  <c r="G76" i="18"/>
  <c r="G75" i="18"/>
  <c r="D76" i="18"/>
  <c r="D77" i="18"/>
  <c r="D75" i="18"/>
  <c r="F32" i="15"/>
  <c r="J34" i="19"/>
  <c r="J36" i="19" s="1"/>
  <c r="C22" i="19"/>
  <c r="E122" i="19"/>
  <c r="E114" i="19"/>
  <c r="G114" i="19" s="1"/>
  <c r="E107" i="19"/>
  <c r="C79" i="19"/>
  <c r="F60" i="15" s="1"/>
  <c r="F78" i="19"/>
  <c r="E119" i="19" s="1"/>
  <c r="S70" i="19"/>
  <c r="S69" i="19"/>
  <c r="G69" i="19"/>
  <c r="S68" i="19"/>
  <c r="G63" i="19"/>
  <c r="G62" i="19"/>
  <c r="G61" i="19"/>
  <c r="C54" i="19"/>
  <c r="G54" i="19" s="1"/>
  <c r="J54" i="19" s="1"/>
  <c r="C53" i="19"/>
  <c r="G53" i="19" s="1"/>
  <c r="J53" i="19" s="1"/>
  <c r="C52" i="19"/>
  <c r="G52" i="19" s="1"/>
  <c r="J52" i="19" s="1"/>
  <c r="C51" i="19"/>
  <c r="G51" i="19" s="1"/>
  <c r="J51" i="19" s="1"/>
  <c r="C50" i="19"/>
  <c r="G50" i="19" s="1"/>
  <c r="J50" i="19" s="1"/>
  <c r="C49" i="19"/>
  <c r="G49" i="19" s="1"/>
  <c r="C44" i="19"/>
  <c r="G34" i="19"/>
  <c r="G33" i="19"/>
  <c r="G32" i="19"/>
  <c r="G26" i="19"/>
  <c r="J26" i="19" s="1"/>
  <c r="G25" i="19"/>
  <c r="J25" i="19" s="1"/>
  <c r="G24" i="19"/>
  <c r="J24" i="19" s="1"/>
  <c r="G23" i="19"/>
  <c r="J23" i="19" s="1"/>
  <c r="G22" i="19"/>
  <c r="J22" i="19" s="1"/>
  <c r="G21" i="19"/>
  <c r="J21" i="19" s="1"/>
  <c r="G16" i="19"/>
  <c r="G15" i="19"/>
  <c r="G77" i="17"/>
  <c r="G76" i="17"/>
  <c r="G75" i="17"/>
  <c r="D76" i="17"/>
  <c r="D77" i="17"/>
  <c r="D75" i="17"/>
  <c r="C79" i="18"/>
  <c r="D79" i="18" s="1"/>
  <c r="J34" i="18"/>
  <c r="J36" i="18" s="1"/>
  <c r="C22" i="18"/>
  <c r="G22" i="18" s="1"/>
  <c r="J22" i="18" s="1"/>
  <c r="E122" i="18"/>
  <c r="G122" i="18" s="1"/>
  <c r="E114" i="18"/>
  <c r="G114" i="18" s="1"/>
  <c r="E107" i="18"/>
  <c r="F78" i="18"/>
  <c r="F40" i="22" s="1"/>
  <c r="F36" i="22" s="1"/>
  <c r="S70" i="18"/>
  <c r="S69" i="18"/>
  <c r="S68" i="18"/>
  <c r="G63" i="18"/>
  <c r="G62" i="18"/>
  <c r="G61" i="18"/>
  <c r="C54" i="18"/>
  <c r="G54" i="18" s="1"/>
  <c r="J54" i="18" s="1"/>
  <c r="C53" i="18"/>
  <c r="G53" i="18"/>
  <c r="J53" i="18" s="1"/>
  <c r="C52" i="18"/>
  <c r="G52" i="18" s="1"/>
  <c r="J52" i="18"/>
  <c r="C51" i="18"/>
  <c r="G51" i="18" s="1"/>
  <c r="J51" i="18" s="1"/>
  <c r="C49" i="18"/>
  <c r="G49" i="18" s="1"/>
  <c r="C44" i="18"/>
  <c r="G44" i="18" s="1"/>
  <c r="G34" i="18"/>
  <c r="G33" i="18"/>
  <c r="G32" i="18"/>
  <c r="G26" i="18"/>
  <c r="J26" i="18"/>
  <c r="G25" i="18"/>
  <c r="J25" i="18" s="1"/>
  <c r="G24" i="18"/>
  <c r="J24" i="18" s="1"/>
  <c r="G23" i="18"/>
  <c r="J23" i="18" s="1"/>
  <c r="G21" i="18"/>
  <c r="J21" i="18" s="1"/>
  <c r="G16" i="18"/>
  <c r="G15" i="18"/>
  <c r="G17" i="18" s="1"/>
  <c r="G76" i="16"/>
  <c r="G77" i="16"/>
  <c r="G75" i="16"/>
  <c r="D76" i="16"/>
  <c r="D77" i="16"/>
  <c r="D75" i="16"/>
  <c r="G77" i="13"/>
  <c r="G76" i="13"/>
  <c r="G75" i="13"/>
  <c r="D77" i="13"/>
  <c r="D76" i="13"/>
  <c r="D75" i="13"/>
  <c r="E107" i="13"/>
  <c r="G68" i="21"/>
  <c r="E112" i="21"/>
  <c r="E116" i="20"/>
  <c r="E112" i="20"/>
  <c r="J49" i="20"/>
  <c r="G22" i="20"/>
  <c r="J22" i="20"/>
  <c r="E119" i="20"/>
  <c r="G17" i="19"/>
  <c r="E109" i="19"/>
  <c r="G68" i="19"/>
  <c r="G70" i="19"/>
  <c r="E78" i="22" s="1"/>
  <c r="E77" i="22" s="1"/>
  <c r="G69" i="18"/>
  <c r="E122" i="17"/>
  <c r="G122" i="17" s="1"/>
  <c r="E114" i="17"/>
  <c r="G114" i="17" s="1"/>
  <c r="E107" i="17"/>
  <c r="C79" i="17"/>
  <c r="D79" i="17" s="1"/>
  <c r="F78" i="17"/>
  <c r="G78" i="17" s="1"/>
  <c r="S70" i="17"/>
  <c r="S69" i="17"/>
  <c r="S68" i="17"/>
  <c r="G63" i="17"/>
  <c r="C54" i="17"/>
  <c r="G54" i="17" s="1"/>
  <c r="J54" i="17" s="1"/>
  <c r="C53" i="17"/>
  <c r="G53" i="17" s="1"/>
  <c r="J53" i="17" s="1"/>
  <c r="C52" i="17"/>
  <c r="G52" i="17" s="1"/>
  <c r="J52" i="17" s="1"/>
  <c r="C51" i="17"/>
  <c r="G51" i="17" s="1"/>
  <c r="J51" i="17" s="1"/>
  <c r="C49" i="17"/>
  <c r="G49" i="17" s="1"/>
  <c r="C44" i="17"/>
  <c r="J36" i="17"/>
  <c r="G34" i="17"/>
  <c r="G33" i="17"/>
  <c r="G32" i="17"/>
  <c r="G26" i="17"/>
  <c r="J26" i="17" s="1"/>
  <c r="G25" i="17"/>
  <c r="J25" i="17" s="1"/>
  <c r="G24" i="17"/>
  <c r="J24" i="17" s="1"/>
  <c r="G23" i="17"/>
  <c r="J23" i="17" s="1"/>
  <c r="G22" i="17"/>
  <c r="J22" i="17" s="1"/>
  <c r="C50" i="17"/>
  <c r="G50" i="17" s="1"/>
  <c r="J50" i="17" s="1"/>
  <c r="G21" i="17"/>
  <c r="J21" i="17" s="1"/>
  <c r="G16" i="17"/>
  <c r="G17" i="17" s="1"/>
  <c r="G15" i="17"/>
  <c r="E122" i="16"/>
  <c r="G122" i="16" s="1"/>
  <c r="E114" i="16"/>
  <c r="G114" i="16" s="1"/>
  <c r="E110" i="16"/>
  <c r="E107" i="16"/>
  <c r="G107" i="16"/>
  <c r="C79" i="16"/>
  <c r="F78" i="16"/>
  <c r="E109" i="16" s="1"/>
  <c r="G109" i="16" s="1"/>
  <c r="S70" i="16"/>
  <c r="S69" i="16"/>
  <c r="S68" i="16"/>
  <c r="G68" i="16"/>
  <c r="G63" i="16"/>
  <c r="C54" i="16"/>
  <c r="G54" i="16" s="1"/>
  <c r="J54" i="16" s="1"/>
  <c r="C53" i="16"/>
  <c r="G53" i="16"/>
  <c r="J53" i="16" s="1"/>
  <c r="C52" i="16"/>
  <c r="G52" i="16" s="1"/>
  <c r="J52" i="16" s="1"/>
  <c r="C51" i="16"/>
  <c r="G51" i="16" s="1"/>
  <c r="J51" i="16" s="1"/>
  <c r="C49" i="16"/>
  <c r="G49" i="16" s="1"/>
  <c r="C44" i="16"/>
  <c r="J36" i="16"/>
  <c r="G34" i="16"/>
  <c r="G33" i="16"/>
  <c r="G32" i="16"/>
  <c r="G26" i="16"/>
  <c r="J26" i="16" s="1"/>
  <c r="G25" i="16"/>
  <c r="J25" i="16" s="1"/>
  <c r="G24" i="16"/>
  <c r="J24" i="16" s="1"/>
  <c r="G23" i="16"/>
  <c r="J23" i="16" s="1"/>
  <c r="G22" i="16"/>
  <c r="J22" i="16" s="1"/>
  <c r="C50" i="16"/>
  <c r="G50" i="16" s="1"/>
  <c r="J50" i="16" s="1"/>
  <c r="G21" i="16"/>
  <c r="J21" i="16" s="1"/>
  <c r="G16" i="16"/>
  <c r="G15" i="16"/>
  <c r="G17" i="16" s="1"/>
  <c r="E122" i="13"/>
  <c r="G122" i="13" s="1"/>
  <c r="E114" i="13"/>
  <c r="G114" i="13" s="1"/>
  <c r="G107" i="17"/>
  <c r="G107" i="13"/>
  <c r="E109" i="17"/>
  <c r="D32" i="15"/>
  <c r="G68" i="17"/>
  <c r="G62" i="17"/>
  <c r="E119" i="17"/>
  <c r="G44" i="17"/>
  <c r="G61" i="17"/>
  <c r="E112" i="16"/>
  <c r="G112" i="16" s="1"/>
  <c r="G62" i="16"/>
  <c r="G44" i="16"/>
  <c r="G61" i="16"/>
  <c r="G69" i="16"/>
  <c r="G70" i="16" s="1"/>
  <c r="E120" i="16" s="1"/>
  <c r="G120" i="16" s="1"/>
  <c r="C61" i="13"/>
  <c r="G62" i="13"/>
  <c r="G61" i="13"/>
  <c r="G33" i="13"/>
  <c r="G34" i="13"/>
  <c r="G32" i="13"/>
  <c r="G63" i="13"/>
  <c r="J34" i="13"/>
  <c r="J36" i="13" s="1"/>
  <c r="C22" i="13"/>
  <c r="G15" i="13"/>
  <c r="G17" i="13" s="1"/>
  <c r="S69" i="13"/>
  <c r="S70" i="13"/>
  <c r="S68" i="13"/>
  <c r="G16" i="13"/>
  <c r="C79" i="13"/>
  <c r="F78" i="13"/>
  <c r="C54" i="13"/>
  <c r="G54" i="13" s="1"/>
  <c r="J54" i="13" s="1"/>
  <c r="C53" i="13"/>
  <c r="G53" i="13" s="1"/>
  <c r="J53" i="13" s="1"/>
  <c r="C52" i="13"/>
  <c r="G52" i="13" s="1"/>
  <c r="J52" i="13" s="1"/>
  <c r="C51" i="13"/>
  <c r="G51" i="13" s="1"/>
  <c r="J51" i="13" s="1"/>
  <c r="C50" i="13"/>
  <c r="G50" i="13"/>
  <c r="J50" i="13" s="1"/>
  <c r="C49" i="13"/>
  <c r="G49" i="13" s="1"/>
  <c r="C44" i="13"/>
  <c r="G44" i="13" s="1"/>
  <c r="G26" i="13"/>
  <c r="J26" i="13" s="1"/>
  <c r="G25" i="13"/>
  <c r="J25" i="13" s="1"/>
  <c r="G24" i="13"/>
  <c r="J24" i="13" s="1"/>
  <c r="G23" i="13"/>
  <c r="J23" i="13" s="1"/>
  <c r="G22" i="13"/>
  <c r="J22" i="13" s="1"/>
  <c r="G21" i="13"/>
  <c r="J21" i="13" s="1"/>
  <c r="E109" i="13"/>
  <c r="G109" i="13" s="1"/>
  <c r="G78" i="13"/>
  <c r="D79" i="13"/>
  <c r="D79" i="16"/>
  <c r="C32" i="15"/>
  <c r="E119" i="13"/>
  <c r="G119" i="13" s="1"/>
  <c r="G69" i="13"/>
  <c r="C60" i="15"/>
  <c r="G68" i="13"/>
  <c r="G70" i="13" s="1"/>
  <c r="H78" i="22" s="1"/>
  <c r="H77" i="22" s="1"/>
  <c r="J27" i="20" l="1"/>
  <c r="D69" i="20" s="1"/>
  <c r="J27" i="18"/>
  <c r="D69" i="18" s="1"/>
  <c r="G78" i="16"/>
  <c r="E110" i="19"/>
  <c r="E119" i="18"/>
  <c r="G119" i="18" s="1"/>
  <c r="G78" i="18"/>
  <c r="E116" i="21"/>
  <c r="C50" i="18"/>
  <c r="G50" i="18" s="1"/>
  <c r="J50" i="18" s="1"/>
  <c r="J27" i="19"/>
  <c r="D69" i="19" s="1"/>
  <c r="G55" i="20"/>
  <c r="D68" i="20" s="1"/>
  <c r="E89" i="20" s="1"/>
  <c r="G107" i="20"/>
  <c r="E40" i="22"/>
  <c r="E36" i="22" s="1"/>
  <c r="G55" i="16"/>
  <c r="D68" i="16" s="1"/>
  <c r="E90" i="16" s="1"/>
  <c r="J27" i="21"/>
  <c r="E116" i="16"/>
  <c r="G116" i="16" s="1"/>
  <c r="G119" i="17"/>
  <c r="J27" i="16"/>
  <c r="D69" i="16" s="1"/>
  <c r="E120" i="19"/>
  <c r="E32" i="15"/>
  <c r="J55" i="20"/>
  <c r="E60" i="15"/>
  <c r="G17" i="20"/>
  <c r="G114" i="20"/>
  <c r="F47" i="22"/>
  <c r="E117" i="16"/>
  <c r="G117" i="16" s="1"/>
  <c r="E119" i="16"/>
  <c r="G119" i="16" s="1"/>
  <c r="G68" i="18"/>
  <c r="G70" i="18" s="1"/>
  <c r="E109" i="21"/>
  <c r="E109" i="18"/>
  <c r="G109" i="17" s="1"/>
  <c r="D79" i="19"/>
  <c r="E99" i="16"/>
  <c r="E98" i="16"/>
  <c r="G98" i="16" s="1"/>
  <c r="E92" i="16"/>
  <c r="G92" i="16" s="1"/>
  <c r="E112" i="17"/>
  <c r="E116" i="17"/>
  <c r="G6" i="15"/>
  <c r="E92" i="20"/>
  <c r="E98" i="20"/>
  <c r="F6" i="15"/>
  <c r="E99" i="19"/>
  <c r="E98" i="19"/>
  <c r="G44" i="19"/>
  <c r="J27" i="13"/>
  <c r="D69" i="13" s="1"/>
  <c r="E98" i="13" s="1"/>
  <c r="J27" i="17"/>
  <c r="D69" i="17" s="1"/>
  <c r="G55" i="13"/>
  <c r="D68" i="13" s="1"/>
  <c r="J49" i="13"/>
  <c r="J55" i="13" s="1"/>
  <c r="E120" i="13"/>
  <c r="E110" i="13"/>
  <c r="D70" i="16"/>
  <c r="E85" i="16"/>
  <c r="G85" i="16" s="1"/>
  <c r="E89" i="16"/>
  <c r="G89" i="16" s="1"/>
  <c r="D71" i="16"/>
  <c r="J49" i="17"/>
  <c r="J55" i="17" s="1"/>
  <c r="D67" i="17" s="1"/>
  <c r="E87" i="17" s="1"/>
  <c r="G55" i="17"/>
  <c r="D68" i="17" s="1"/>
  <c r="E98" i="18"/>
  <c r="E6" i="15"/>
  <c r="E92" i="18"/>
  <c r="E117" i="13"/>
  <c r="D67" i="13"/>
  <c r="E87" i="13" s="1"/>
  <c r="E112" i="13"/>
  <c r="E116" i="13"/>
  <c r="G116" i="13" s="1"/>
  <c r="J49" i="16"/>
  <c r="J55" i="16" s="1"/>
  <c r="D67" i="16" s="1"/>
  <c r="E87" i="16" s="1"/>
  <c r="G87" i="16" s="1"/>
  <c r="E92" i="19"/>
  <c r="G107" i="19"/>
  <c r="G107" i="18"/>
  <c r="E116" i="19"/>
  <c r="G116" i="19" s="1"/>
  <c r="E117" i="19"/>
  <c r="E112" i="19"/>
  <c r="G112" i="19" s="1"/>
  <c r="G17" i="21"/>
  <c r="D69" i="21"/>
  <c r="J49" i="21"/>
  <c r="J55" i="21" s="1"/>
  <c r="D67" i="21" s="1"/>
  <c r="E87" i="21" s="1"/>
  <c r="G55" i="21"/>
  <c r="D68" i="21" s="1"/>
  <c r="G119" i="20"/>
  <c r="J49" i="18"/>
  <c r="J55" i="18" s="1"/>
  <c r="D67" i="18" s="1"/>
  <c r="E87" i="18" s="1"/>
  <c r="G109" i="18"/>
  <c r="D71" i="20"/>
  <c r="E85" i="20"/>
  <c r="D70" i="20"/>
  <c r="G40" i="22"/>
  <c r="G36" i="22" s="1"/>
  <c r="G47" i="22"/>
  <c r="D60" i="15"/>
  <c r="J49" i="19"/>
  <c r="J55" i="19" s="1"/>
  <c r="G55" i="19"/>
  <c r="D68" i="19" s="1"/>
  <c r="D47" i="22"/>
  <c r="G78" i="20"/>
  <c r="G32" i="15"/>
  <c r="D40" i="22"/>
  <c r="D36" i="22" s="1"/>
  <c r="E109" i="20"/>
  <c r="G109" i="20" s="1"/>
  <c r="G68" i="20"/>
  <c r="G70" i="20" s="1"/>
  <c r="D78" i="22" s="1"/>
  <c r="D77" i="22" s="1"/>
  <c r="G122" i="19"/>
  <c r="G122" i="20"/>
  <c r="G78" i="19"/>
  <c r="H40" i="22"/>
  <c r="G69" i="17"/>
  <c r="G70" i="17" s="1"/>
  <c r="G78" i="22" s="1"/>
  <c r="G77" i="22" s="1"/>
  <c r="G109" i="19"/>
  <c r="E116" i="18"/>
  <c r="G116" i="18" s="1"/>
  <c r="E112" i="18"/>
  <c r="G112" i="20" s="1"/>
  <c r="G119" i="19"/>
  <c r="D67" i="20"/>
  <c r="E87" i="20" s="1"/>
  <c r="H60" i="15"/>
  <c r="C62" i="15" s="1"/>
  <c r="E47" i="22"/>
  <c r="D79" i="20"/>
  <c r="G69" i="21"/>
  <c r="G70" i="21" s="1"/>
  <c r="C78" i="22" s="1"/>
  <c r="C77" i="22" s="1"/>
  <c r="H32" i="15"/>
  <c r="C34" i="15" s="1"/>
  <c r="G60" i="15"/>
  <c r="F78" i="22" l="1"/>
  <c r="F77" i="22" s="1"/>
  <c r="E110" i="18"/>
  <c r="G110" i="18" s="1"/>
  <c r="E117" i="18"/>
  <c r="G117" i="18" s="1"/>
  <c r="E120" i="18"/>
  <c r="G120" i="18" s="1"/>
  <c r="G55" i="18"/>
  <c r="D68" i="18" s="1"/>
  <c r="E99" i="21"/>
  <c r="E99" i="20"/>
  <c r="E90" i="20"/>
  <c r="G87" i="20"/>
  <c r="E99" i="18"/>
  <c r="E57" i="15" s="1"/>
  <c r="F79" i="22"/>
  <c r="H79" i="22"/>
  <c r="D79" i="22"/>
  <c r="J79" i="22"/>
  <c r="E79" i="22"/>
  <c r="C79" i="22"/>
  <c r="G79" i="22"/>
  <c r="I79" i="22"/>
  <c r="G112" i="13"/>
  <c r="H47" i="22"/>
  <c r="H36" i="22"/>
  <c r="H46" i="22" s="1"/>
  <c r="C33" i="15"/>
  <c r="G116" i="20"/>
  <c r="C61" i="15"/>
  <c r="E96" i="16"/>
  <c r="G96" i="16" s="1"/>
  <c r="E105" i="16"/>
  <c r="E104" i="16"/>
  <c r="G104" i="16" s="1"/>
  <c r="D67" i="19"/>
  <c r="E87" i="19" s="1"/>
  <c r="G87" i="19" s="1"/>
  <c r="F57" i="15"/>
  <c r="G112" i="17"/>
  <c r="D70" i="18"/>
  <c r="E85" i="18"/>
  <c r="E90" i="18"/>
  <c r="E89" i="18"/>
  <c r="D71" i="18"/>
  <c r="D71" i="19"/>
  <c r="D70" i="19"/>
  <c r="E90" i="19"/>
  <c r="E85" i="19"/>
  <c r="G85" i="19" s="1"/>
  <c r="E89" i="19"/>
  <c r="G89" i="19" s="1"/>
  <c r="G57" i="15"/>
  <c r="G112" i="18"/>
  <c r="E120" i="17"/>
  <c r="G120" i="17" s="1"/>
  <c r="E110" i="17"/>
  <c r="G110" i="13" s="1"/>
  <c r="E117" i="17"/>
  <c r="G117" i="17" s="1"/>
  <c r="E105" i="20"/>
  <c r="E104" i="20"/>
  <c r="E96" i="20"/>
  <c r="E4" i="22"/>
  <c r="F3" i="15"/>
  <c r="G92" i="19"/>
  <c r="G87" i="13"/>
  <c r="E3" i="15"/>
  <c r="F4" i="22"/>
  <c r="G92" i="18"/>
  <c r="E89" i="17"/>
  <c r="G89" i="17" s="1"/>
  <c r="E90" i="17"/>
  <c r="D71" i="17"/>
  <c r="D70" i="17"/>
  <c r="E85" i="17"/>
  <c r="D6" i="15"/>
  <c r="E99" i="17"/>
  <c r="E92" i="17"/>
  <c r="E98" i="17"/>
  <c r="D46" i="22"/>
  <c r="G29" i="15"/>
  <c r="G98" i="20"/>
  <c r="E120" i="21"/>
  <c r="E110" i="21"/>
  <c r="E117" i="21"/>
  <c r="E90" i="21"/>
  <c r="E89" i="21"/>
  <c r="D70" i="21"/>
  <c r="D71" i="21"/>
  <c r="E85" i="21"/>
  <c r="F46" i="22"/>
  <c r="E29" i="15"/>
  <c r="G98" i="18"/>
  <c r="E117" i="20"/>
  <c r="G117" i="20" s="1"/>
  <c r="E120" i="20"/>
  <c r="E110" i="20"/>
  <c r="E102" i="20"/>
  <c r="E94" i="20"/>
  <c r="E101" i="20"/>
  <c r="E92" i="21"/>
  <c r="H6" i="15"/>
  <c r="E98" i="21"/>
  <c r="G87" i="17"/>
  <c r="E102" i="16"/>
  <c r="E101" i="16"/>
  <c r="G101" i="16" s="1"/>
  <c r="E94" i="16"/>
  <c r="G94" i="16" s="1"/>
  <c r="E90" i="13"/>
  <c r="D70" i="13"/>
  <c r="E85" i="13"/>
  <c r="D71" i="13"/>
  <c r="E89" i="13"/>
  <c r="E99" i="13"/>
  <c r="C6" i="15"/>
  <c r="E92" i="13"/>
  <c r="E46" i="22"/>
  <c r="F29" i="15"/>
  <c r="G98" i="19"/>
  <c r="G92" i="20"/>
  <c r="D4" i="22"/>
  <c r="G3" i="15"/>
  <c r="G116" i="17"/>
  <c r="G120" i="13" l="1"/>
  <c r="G85" i="17"/>
  <c r="E101" i="21"/>
  <c r="E102" i="21"/>
  <c r="E94" i="21"/>
  <c r="G85" i="18"/>
  <c r="H4" i="22"/>
  <c r="G92" i="13"/>
  <c r="C3" i="15"/>
  <c r="G89" i="13"/>
  <c r="H3" i="15"/>
  <c r="C4" i="22"/>
  <c r="G120" i="20"/>
  <c r="G120" i="19"/>
  <c r="E104" i="21"/>
  <c r="E105" i="21"/>
  <c r="E96" i="21"/>
  <c r="G46" i="22"/>
  <c r="G98" i="17"/>
  <c r="D29" i="15"/>
  <c r="E105" i="19"/>
  <c r="E104" i="19"/>
  <c r="G104" i="19" s="1"/>
  <c r="E96" i="19"/>
  <c r="G96" i="19" s="1"/>
  <c r="G87" i="18"/>
  <c r="C46" i="22"/>
  <c r="H29" i="15"/>
  <c r="D3" i="15"/>
  <c r="G4" i="22"/>
  <c r="G92" i="17"/>
  <c r="C57" i="15"/>
  <c r="G85" i="13"/>
  <c r="H57" i="15"/>
  <c r="D57" i="15"/>
  <c r="E94" i="17"/>
  <c r="E101" i="17"/>
  <c r="E102" i="17"/>
  <c r="E105" i="18"/>
  <c r="E96" i="18"/>
  <c r="G96" i="18" s="1"/>
  <c r="E104" i="18"/>
  <c r="E101" i="18"/>
  <c r="G101" i="18" s="1"/>
  <c r="E102" i="18"/>
  <c r="E94" i="18"/>
  <c r="E96" i="13"/>
  <c r="E104" i="13"/>
  <c r="E105" i="13"/>
  <c r="C29" i="15"/>
  <c r="G98" i="13"/>
  <c r="E101" i="13"/>
  <c r="G101" i="13" s="1"/>
  <c r="E94" i="13"/>
  <c r="E102" i="13"/>
  <c r="E96" i="17"/>
  <c r="G96" i="17" s="1"/>
  <c r="E105" i="17"/>
  <c r="E104" i="17"/>
  <c r="G117" i="19"/>
  <c r="E101" i="19"/>
  <c r="G101" i="19" s="1"/>
  <c r="E102" i="19"/>
  <c r="E94" i="19"/>
  <c r="G94" i="19" s="1"/>
  <c r="G89" i="18"/>
  <c r="G89" i="20"/>
  <c r="G117" i="13"/>
  <c r="G96" i="13" l="1"/>
  <c r="G104" i="17"/>
  <c r="G94" i="13"/>
  <c r="F37" i="22"/>
  <c r="H37" i="22"/>
  <c r="C37" i="22"/>
  <c r="G37" i="22"/>
  <c r="J37" i="22"/>
  <c r="D37" i="22"/>
  <c r="I37" i="22"/>
  <c r="E37" i="22"/>
  <c r="J5" i="22"/>
  <c r="K4" i="22"/>
  <c r="I5" i="22"/>
  <c r="G104" i="13"/>
  <c r="C30" i="15"/>
  <c r="C31" i="15"/>
  <c r="H5" i="22"/>
  <c r="G104" i="18"/>
  <c r="G101" i="17"/>
  <c r="G104" i="20"/>
  <c r="G101" i="20"/>
  <c r="G94" i="18"/>
  <c r="G94" i="17"/>
  <c r="C58" i="15"/>
  <c r="C59" i="15"/>
  <c r="G96" i="20"/>
  <c r="C4" i="15"/>
  <c r="C5" i="15"/>
  <c r="G94" i="20"/>
</calcChain>
</file>

<file path=xl/sharedStrings.xml><?xml version="1.0" encoding="utf-8"?>
<sst xmlns="http://schemas.openxmlformats.org/spreadsheetml/2006/main" count="1887" uniqueCount="207">
  <si>
    <t>FACTOR DE EMISIÓN DE CONSUMO ELÉCTRICO</t>
  </si>
  <si>
    <t>Factor de emisión (Kg de CO2 eq/kWh)</t>
  </si>
  <si>
    <t>Kg de CO2 eq/kWh</t>
  </si>
  <si>
    <t>FACTORES DE EMISIÓN COMBUSTIBLES</t>
  </si>
  <si>
    <t>Combustible</t>
  </si>
  <si>
    <t>Unidades de medida física</t>
  </si>
  <si>
    <t>Factor de emisión (Kg CO2 eq/ud)</t>
  </si>
  <si>
    <t>Factor de conversión</t>
  </si>
  <si>
    <t>Gas natural</t>
  </si>
  <si>
    <t>Litros</t>
  </si>
  <si>
    <t>kWh/l</t>
  </si>
  <si>
    <t>Kg</t>
  </si>
  <si>
    <t>kWh/Kg</t>
  </si>
  <si>
    <t>FACTORES DE EMISIÓN DE OTROS PRODUCTOS</t>
  </si>
  <si>
    <t>Papel común</t>
  </si>
  <si>
    <t>Kg de CO2 eq/Kg de papel común</t>
  </si>
  <si>
    <t>Papel reciclado</t>
  </si>
  <si>
    <t>Kg de CO2 eq/Kg de papel reciclado</t>
  </si>
  <si>
    <t>Agua</t>
  </si>
  <si>
    <t>Kg de CO2 eq/m3 de agua</t>
  </si>
  <si>
    <t>Consumo anual</t>
  </si>
  <si>
    <t>kWh</t>
  </si>
  <si>
    <t>Electricidad</t>
  </si>
  <si>
    <t>Producto</t>
  </si>
  <si>
    <t>m3</t>
  </si>
  <si>
    <t>Cálculo automático de emisiones totales en relación a los consumos energéticos de sus instalaciones</t>
  </si>
  <si>
    <t>Gasóleo calefacción</t>
  </si>
  <si>
    <t>kWh/m3</t>
  </si>
  <si>
    <t>Carbón</t>
  </si>
  <si>
    <t>Biomasa no densificada</t>
  </si>
  <si>
    <t>Biomasa densificada (pelets)</t>
  </si>
  <si>
    <t xml:space="preserve">GLP </t>
  </si>
  <si>
    <t>FACTOR DE CONVERSIÓN DE ENERGÍA FINAL A PRIMARIA</t>
  </si>
  <si>
    <t>kWh E. primaria total /kWh E. final</t>
  </si>
  <si>
    <t>Factor de CONVERSIÓN</t>
  </si>
  <si>
    <t>kWh energía primaria</t>
  </si>
  <si>
    <t>Consumo anual de energía primaria</t>
  </si>
  <si>
    <t>Consumo anual de energía final</t>
  </si>
  <si>
    <t>Emisiones de CO2 anuales</t>
  </si>
  <si>
    <t>Emisiones de SO2 anuales</t>
  </si>
  <si>
    <t>Emisiones de NOx anuales</t>
  </si>
  <si>
    <t>Empleados (tiempo completo)</t>
  </si>
  <si>
    <t>Alumnos (tiempo completo)</t>
  </si>
  <si>
    <t>Egresados</t>
  </si>
  <si>
    <t>MA01</t>
  </si>
  <si>
    <t>Superficie construida</t>
  </si>
  <si>
    <t>MA02</t>
  </si>
  <si>
    <t>MA03</t>
  </si>
  <si>
    <t>Electricidad AT</t>
  </si>
  <si>
    <t>Electricidad BT</t>
  </si>
  <si>
    <t>Estudiantes</t>
  </si>
  <si>
    <t>Doctorado</t>
  </si>
  <si>
    <t>Postgrado</t>
  </si>
  <si>
    <t>Erasmus</t>
  </si>
  <si>
    <t>Trabajadores</t>
  </si>
  <si>
    <t>PDI</t>
  </si>
  <si>
    <t>PAS</t>
  </si>
  <si>
    <t>Becarios</t>
  </si>
  <si>
    <t>Producción</t>
  </si>
  <si>
    <t>Docencia</t>
  </si>
  <si>
    <t>Investigación</t>
  </si>
  <si>
    <t xml:space="preserve">Tesis </t>
  </si>
  <si>
    <t>Publicaciones</t>
  </si>
  <si>
    <t>Fuentes:</t>
  </si>
  <si>
    <t>Los factores de emisión y coeficientes de paso a energía primaria se han obtenido de:</t>
  </si>
  <si>
    <t>http://www.minetad.gob.es/energia/desarrollo/EficienciaEnergetica/RITE/Reconocidos/Paginas/IndexDocumentosReconocidos.aspx</t>
  </si>
  <si>
    <t>Los datos de superficies son proporcionados por el Servicio de Obras</t>
  </si>
  <si>
    <t>Los datos de personal y alumnos se obtienen de las Cuentas Anuales de la Universidad de Jaén</t>
  </si>
  <si>
    <t>Indicadores de consumos de Energía Primaria, Energía Final y Emisiones de CO2</t>
  </si>
  <si>
    <t>Los datos de consumos se extraen de las facturas emitidas por las respectivas distribuidoras</t>
  </si>
  <si>
    <r>
      <t>kWh/m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</si>
  <si>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kg/m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</si>
  <si>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Emisiones anuales de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por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construido</t>
    </r>
  </si>
  <si>
    <r>
      <t>Emisiones anuales de SO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por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construido</t>
    </r>
  </si>
  <si>
    <r>
      <t>Emisiones anuales de NOx por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construido</t>
    </r>
  </si>
  <si>
    <r>
      <t>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</si>
  <si>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TOTAL</t>
  </si>
  <si>
    <t>kg/usuario</t>
  </si>
  <si>
    <r>
      <t>Consumo de energía final anual por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de superficie construida</t>
    </r>
  </si>
  <si>
    <r>
      <t>Consumo de energía primaria anual por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de superficie construida</t>
    </r>
  </si>
  <si>
    <t>Tasas de variación</t>
  </si>
  <si>
    <t>COSTES ANUALES DE LOS CONSUMOS</t>
  </si>
  <si>
    <t>Coste anual</t>
  </si>
  <si>
    <t>€/m2</t>
  </si>
  <si>
    <t>€/usuario</t>
  </si>
  <si>
    <t>t de CO2 eq</t>
  </si>
  <si>
    <t>t CO2 eq/usuario</t>
  </si>
  <si>
    <r>
      <t>t CO2 eq/m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</si>
  <si>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t CO2 eq</t>
  </si>
  <si>
    <t>kg</t>
  </si>
  <si>
    <t>MA04</t>
  </si>
  <si>
    <t>MA05</t>
  </si>
  <si>
    <t>MA06</t>
  </si>
  <si>
    <t>MA07</t>
  </si>
  <si>
    <t>MA08</t>
  </si>
  <si>
    <t>MA09</t>
  </si>
  <si>
    <t>MA10</t>
  </si>
  <si>
    <t>MA11</t>
  </si>
  <si>
    <t>MA12</t>
  </si>
  <si>
    <r>
      <t>Consumo de agua anual por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de superficie construida</t>
    </r>
  </si>
  <si>
    <r>
      <t>l/m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</si>
  <si>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kWh/usuario</t>
  </si>
  <si>
    <t>MA13</t>
  </si>
  <si>
    <t>MA14</t>
  </si>
  <si>
    <t>MA15</t>
  </si>
  <si>
    <t>Cálculo automático de consumos de energía primaria en relación a los consumos de energía final</t>
  </si>
  <si>
    <t xml:space="preserve"> </t>
  </si>
  <si>
    <t>Producción anual</t>
  </si>
  <si>
    <t>MA03a</t>
  </si>
  <si>
    <t>MA03b</t>
  </si>
  <si>
    <t>MA07a</t>
  </si>
  <si>
    <t>MA07b</t>
  </si>
  <si>
    <t>MA08a</t>
  </si>
  <si>
    <t>MA08b</t>
  </si>
  <si>
    <t>MA09a</t>
  </si>
  <si>
    <t>MA09b</t>
  </si>
  <si>
    <t>Promedio del período</t>
  </si>
  <si>
    <t>Tasa de variación del período</t>
  </si>
  <si>
    <t>Trabajadores del período</t>
  </si>
  <si>
    <t>Usuarios del período</t>
  </si>
  <si>
    <t>Tasa de variación del período corregida con el descenso del número de usuarios</t>
  </si>
  <si>
    <t>Tasa de variación del período corregida con el descenso del número de trabajadores</t>
  </si>
  <si>
    <r>
      <t>Emisiones anuales de CO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por 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construido (t CO2 eq/m2)</t>
    </r>
  </si>
  <si>
    <r>
      <t>Emisiones anuales de CO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 por usuario (trabajadores+estudiantes) (t CO2 eq)</t>
    </r>
  </si>
  <si>
    <t>Emisiones anuales de CO2 por trabajador (t CO2 eq)</t>
  </si>
  <si>
    <t>Promedio emisiones del período</t>
  </si>
  <si>
    <t>Promedio usuarios del período</t>
  </si>
  <si>
    <t>Emisiones anuales de CO2  (t CO2 eq)</t>
  </si>
  <si>
    <t>Que son aplicables a partir de 16/01/2016</t>
  </si>
  <si>
    <t>Ejercicio 2016</t>
  </si>
  <si>
    <t>INDICADORES DIRECTOS</t>
  </si>
  <si>
    <t>INDICADORES ELABORADOS</t>
  </si>
  <si>
    <r>
      <t>Coste energía final anual por m</t>
    </r>
    <r>
      <rPr>
        <b/>
        <vertAlign val="superscript"/>
        <sz val="10"/>
        <color theme="1"/>
        <rFont val="Calibri"/>
        <family val="2"/>
        <scheme val="minor"/>
      </rPr>
      <t xml:space="preserve">2 </t>
    </r>
    <r>
      <rPr>
        <b/>
        <sz val="10"/>
        <color theme="1"/>
        <rFont val="Calibri"/>
        <family val="2"/>
        <scheme val="minor"/>
      </rPr>
      <t>construido</t>
    </r>
  </si>
  <si>
    <t>g de SO2 eq/kWh</t>
  </si>
  <si>
    <t xml:space="preserve">Factor de emisión </t>
  </si>
  <si>
    <t>t q</t>
  </si>
  <si>
    <t>Cálculo automático de las emisiones de GEI evitadas  por la producción de energía eléctrica fotovoltaica</t>
  </si>
  <si>
    <t>g de NOx eq/kWh</t>
  </si>
  <si>
    <t>Producción de energía eléctrica fotovoltaica</t>
  </si>
  <si>
    <t>Dato de producción provisional a febrero de 2017, falta producción de diciembre y posibles regularizaciones</t>
  </si>
  <si>
    <t>MA16</t>
  </si>
  <si>
    <t>Relación, expresada en tanto por ciento, entre la energía eléctrica fotovoltaica producida por la UJA y el consumo eléctrico anual</t>
  </si>
  <si>
    <t>MA11a</t>
  </si>
  <si>
    <t>MA11b</t>
  </si>
  <si>
    <t>MA15a</t>
  </si>
  <si>
    <t>MA15b</t>
  </si>
  <si>
    <t>MA-D01</t>
  </si>
  <si>
    <t>MA-D02</t>
  </si>
  <si>
    <t>MA-D03</t>
  </si>
  <si>
    <t>MA-D04</t>
  </si>
  <si>
    <t>MA-D05</t>
  </si>
  <si>
    <t>MA-D06</t>
  </si>
  <si>
    <t>Cálculo aumático de indicadores medioambientales relacionados  con el consumo  energético</t>
  </si>
  <si>
    <t>Tasas de variación interanuales</t>
  </si>
  <si>
    <t>Indicadores</t>
  </si>
  <si>
    <t>Consumo de agua anual por trabajador</t>
  </si>
  <si>
    <t>Consumo de energía final anual por trabajador</t>
  </si>
  <si>
    <t>Consumo de energía final anual por usuario  (trabajadores + estudiantes)</t>
  </si>
  <si>
    <r>
      <t>Emisiones anuales de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por trabajador</t>
    </r>
  </si>
  <si>
    <r>
      <t>Emisiones anuales de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por usuario  (trabajadores + estudiantes)</t>
    </r>
  </si>
  <si>
    <t>Emisiones anuales de SO2 por trabajador</t>
  </si>
  <si>
    <t>Emisiones anuales de NOx por trabajador</t>
  </si>
  <si>
    <t>Emisiones anuales de NOx por  usuario  (trabajadores + estudiantes)</t>
  </si>
  <si>
    <t>Consumo de agua anual por usuario  (trabajadores + estudiantes)</t>
  </si>
  <si>
    <t>Emisiones anuales de SO2 por  usuario  (trabajadores + estudiantes)</t>
  </si>
  <si>
    <t>kWh/trabajador</t>
  </si>
  <si>
    <t>t CO2 eq/trabajador</t>
  </si>
  <si>
    <t>kg/trabajador</t>
  </si>
  <si>
    <t>€/trabajador</t>
  </si>
  <si>
    <t>TOTAL USUARIOS DE LAS INSTALACIONES</t>
  </si>
  <si>
    <r>
      <t>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>/trabajador</t>
    </r>
  </si>
  <si>
    <r>
      <t>€/m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</si>
  <si>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Coste consumo de agua anual por m</t>
    </r>
    <r>
      <rPr>
        <b/>
        <vertAlign val="superscript"/>
        <sz val="10"/>
        <color theme="1"/>
        <rFont val="Calibri"/>
        <family val="2"/>
        <scheme val="minor"/>
      </rPr>
      <t xml:space="preserve">2 </t>
    </r>
    <r>
      <rPr>
        <b/>
        <sz val="10"/>
        <color theme="1"/>
        <rFont val="Calibri"/>
        <family val="2"/>
        <scheme val="minor"/>
      </rPr>
      <t>construido</t>
    </r>
  </si>
  <si>
    <t>Coste del consumo de energía final anual por trabajador</t>
  </si>
  <si>
    <t>Coste del consumo de energía final anual por usuario  (trabajadores + estudiantes)</t>
  </si>
  <si>
    <t>Coste del consumo de agua anual por trabajador</t>
  </si>
  <si>
    <t>Coste del consumo de agua anual por usuario  (trabajadores + estudiantes)</t>
  </si>
  <si>
    <t>MA14a</t>
  </si>
  <si>
    <t>MA14b</t>
  </si>
  <si>
    <t xml:space="preserve">Grados </t>
  </si>
  <si>
    <t>Ejercicio 2017</t>
  </si>
  <si>
    <t>Ejercicio 2015</t>
  </si>
  <si>
    <t>t eq</t>
  </si>
  <si>
    <t>m3/usuario</t>
  </si>
  <si>
    <r>
      <t>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>/usuario</t>
    </r>
  </si>
  <si>
    <t>Ejercicio 2014</t>
  </si>
  <si>
    <t>Ejercicio 2013</t>
  </si>
  <si>
    <t>Ejercicio 2012</t>
  </si>
  <si>
    <t>Ejercicio 2011</t>
  </si>
  <si>
    <t>EMISIONES DE GASES DE EFECTO INVERNADERO POR CONSUMO DE ENERGÍA FINAL</t>
  </si>
  <si>
    <t>Emisiones anuales de CO2 por m2 construido (t CO2 eq/m2)</t>
  </si>
  <si>
    <t>Emisiones anuales de CO2 por usuario (trabajadores+estudiantes) (t CO2 eq)</t>
  </si>
  <si>
    <t xml:space="preserve"> Emisiones anuales de CO2 por m2 construido (t CO2 eq/m2) </t>
  </si>
  <si>
    <t xml:space="preserve"> Promedio del período </t>
  </si>
  <si>
    <t xml:space="preserve"> Emisiones anuales de CO2  (t CO2 eq) </t>
  </si>
  <si>
    <t xml:space="preserve"> Trabajadores del período </t>
  </si>
  <si>
    <t xml:space="preserve"> Tasa de variación del período </t>
  </si>
  <si>
    <t xml:space="preserve"> Tasa de variación del período corregida con el descenso del número de trabajadores </t>
  </si>
  <si>
    <t>8b15-2</t>
  </si>
  <si>
    <r>
      <t>Emisiones CO</t>
    </r>
    <r>
      <rPr>
        <b/>
        <vertAlign val="subscript"/>
        <sz val="14"/>
        <color rgb="FF595959"/>
        <rFont val="Calibri"/>
        <family val="2"/>
        <scheme val="minor"/>
      </rPr>
      <t>2</t>
    </r>
    <r>
      <rPr>
        <b/>
        <sz val="14"/>
        <color rgb="FF595959"/>
        <rFont val="Calibri"/>
        <family val="2"/>
        <scheme val="minor"/>
      </rPr>
      <t xml:space="preserve"> por trabajador</t>
    </r>
    <r>
      <rPr>
        <sz val="14"/>
        <color rgb="FF595959"/>
        <rFont val="Calibri"/>
        <family val="2"/>
        <scheme val="minor"/>
      </rPr>
      <t xml:space="preserve"> indirectas (Electricidad) y directas (combustibles)</t>
    </r>
  </si>
  <si>
    <t>8b15-3</t>
  </si>
  <si>
    <t xml:space="preserve"> Emisiones anuales de CO2 por usuario (trabajadores + estudiantes) (t CO2 eq) </t>
  </si>
  <si>
    <t xml:space="preserve"> Usuarios del período </t>
  </si>
  <si>
    <t xml:space="preserve"> Promedio emisiones del período </t>
  </si>
  <si>
    <t xml:space="preserve"> Tasa de variación del período corregida con el descenso del número de usuarios </t>
  </si>
  <si>
    <t>% V del período 2011.2018</t>
  </si>
  <si>
    <t>% V del período 2013.2018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</si>
</sst>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\ _€_-;\-* #,##0.0\ _€_-;_-* &quot;-&quot;??\ _€_-;_-@_-"/>
    <numFmt numFmtId="165" formatCode="_-* #,##0\ _€_-;\-* #,##0\ _€_-;_-* &quot;-&quot;??\ _€_-;_-@_-"/>
    <numFmt numFmtId="166" formatCode="0.000"/>
    <numFmt numFmtId="167" formatCode="_-* #,##0.00\ [$€-C0A]_-;\-* #,##0.00\ [$€-C0A]_-;_-* &quot;-&quot;??\ [$€-C0A]_-;_-@_-"/>
    <numFmt numFmtId="168" formatCode="0.0%"/>
    <numFmt numFmtId="169" formatCode="0.0"/>
    <numFmt numFmtId="170" formatCode="_-* #,##0.000\ _€_-;\-* #,##0.000\ _€_-;_-* &quot;-&quot;??\ _€_-;_-@_-"/>
    <numFmt numFmtId="171" formatCode="#,##0.00_ ;\-#,##0.00\ "/>
    <numFmt numFmtId="172" formatCode="_-* #,##0.0000\ _€_-;\-* #,##0.0000\ _€_-;_-* &quot;-&quot;??\ _€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6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color rgb="FF000000"/>
      <name val="Arial"/>
      <family val="2"/>
    </font>
    <font>
      <b/>
      <i/>
      <sz val="18"/>
      <color rgb="FF000000"/>
      <name val="Arial"/>
      <family val="2"/>
    </font>
    <font>
      <b/>
      <sz val="24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4"/>
      <color rgb="FF595959"/>
      <name val="Calibri"/>
      <family val="2"/>
      <scheme val="minor"/>
    </font>
    <font>
      <b/>
      <vertAlign val="subscript"/>
      <sz val="14"/>
      <color rgb="FF595959"/>
      <name val="Calibri"/>
      <family val="2"/>
      <scheme val="minor"/>
    </font>
    <font>
      <sz val="14"/>
      <color rgb="FF59595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65"/>
        <bgColor theme="0"/>
      </patternFill>
    </fill>
    <fill>
      <patternFill patternType="solid">
        <fgColor theme="6" tint="-0.499984740745262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3" tint="0.59999389629810485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theme="4" tint="0.499984740745262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/>
      <top/>
      <bottom style="thin">
        <color theme="3" tint="0.39997558519241921"/>
      </bottom>
      <diagonal/>
    </border>
    <border>
      <left/>
      <right/>
      <top style="double">
        <color theme="4"/>
      </top>
      <bottom style="thin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medium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167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3" borderId="34" applyNumberFormat="0" applyFont="0" applyAlignment="0" applyProtection="0"/>
    <xf numFmtId="9" fontId="1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5" fillId="0" borderId="35" applyNumberFormat="0" applyFill="0" applyAlignment="0" applyProtection="0"/>
    <xf numFmtId="167" fontId="6" fillId="0" borderId="36" applyNumberFormat="0" applyFill="0" applyAlignment="0" applyProtection="0"/>
    <xf numFmtId="167" fontId="19" fillId="0" borderId="0" applyNumberFormat="0" applyFill="0" applyBorder="0" applyAlignment="0" applyProtection="0"/>
  </cellStyleXfs>
  <cellXfs count="293">
    <xf numFmtId="167" fontId="0" fillId="0" borderId="0" xfId="0"/>
    <xf numFmtId="167" fontId="7" fillId="4" borderId="0" xfId="0" applyFont="1" applyFill="1"/>
    <xf numFmtId="167" fontId="8" fillId="4" borderId="0" xfId="0" applyFont="1" applyFill="1" applyAlignment="1"/>
    <xf numFmtId="167" fontId="11" fillId="6" borderId="4" xfId="0" applyFont="1" applyFill="1" applyBorder="1"/>
    <xf numFmtId="167" fontId="11" fillId="6" borderId="6" xfId="0" applyFont="1" applyFill="1" applyBorder="1" applyAlignment="1">
      <alignment horizontal="center"/>
    </xf>
    <xf numFmtId="167" fontId="11" fillId="6" borderId="6" xfId="0" applyFont="1" applyFill="1" applyBorder="1" applyAlignment="1">
      <alignment horizontal="center" wrapText="1"/>
    </xf>
    <xf numFmtId="167" fontId="11" fillId="6" borderId="7" xfId="0" applyFont="1" applyFill="1" applyBorder="1" applyAlignment="1">
      <alignment horizontal="center" wrapText="1"/>
    </xf>
    <xf numFmtId="167" fontId="9" fillId="5" borderId="8" xfId="0" applyFont="1" applyFill="1" applyBorder="1" applyAlignment="1">
      <alignment horizontal="left" wrapText="1"/>
    </xf>
    <xf numFmtId="167" fontId="9" fillId="5" borderId="2" xfId="0" applyFont="1" applyFill="1" applyBorder="1" applyAlignment="1">
      <alignment horizontal="center"/>
    </xf>
    <xf numFmtId="167" fontId="9" fillId="5" borderId="9" xfId="0" applyFont="1" applyFill="1" applyBorder="1" applyAlignment="1">
      <alignment horizontal="center" wrapText="1"/>
    </xf>
    <xf numFmtId="167" fontId="9" fillId="5" borderId="11" xfId="0" applyFont="1" applyFill="1" applyBorder="1" applyAlignment="1">
      <alignment horizontal="center" wrapText="1"/>
    </xf>
    <xf numFmtId="167" fontId="11" fillId="6" borderId="12" xfId="0" applyFont="1" applyFill="1" applyBorder="1" applyAlignment="1">
      <alignment horizontal="left" wrapText="1"/>
    </xf>
    <xf numFmtId="167" fontId="7" fillId="4" borderId="13" xfId="0" applyFont="1" applyFill="1" applyBorder="1"/>
    <xf numFmtId="167" fontId="11" fillId="6" borderId="14" xfId="0" applyFont="1" applyFill="1" applyBorder="1" applyAlignment="1">
      <alignment horizontal="center" wrapText="1"/>
    </xf>
    <xf numFmtId="167" fontId="11" fillId="6" borderId="15" xfId="0" applyFont="1" applyFill="1" applyBorder="1" applyAlignment="1">
      <alignment horizontal="center" wrapText="1"/>
    </xf>
    <xf numFmtId="167" fontId="11" fillId="6" borderId="16" xfId="0" applyFont="1" applyFill="1" applyBorder="1" applyAlignment="1">
      <alignment horizontal="center" wrapText="1"/>
    </xf>
    <xf numFmtId="167" fontId="11" fillId="6" borderId="18" xfId="0" applyFont="1" applyFill="1" applyBorder="1" applyAlignment="1">
      <alignment horizontal="left" wrapText="1"/>
    </xf>
    <xf numFmtId="167" fontId="7" fillId="4" borderId="19" xfId="0" applyFont="1" applyFill="1" applyBorder="1"/>
    <xf numFmtId="167" fontId="11" fillId="6" borderId="20" xfId="0" applyFont="1" applyFill="1" applyBorder="1" applyAlignment="1">
      <alignment horizontal="center" wrapText="1"/>
    </xf>
    <xf numFmtId="167" fontId="11" fillId="6" borderId="21" xfId="0" applyFont="1" applyFill="1" applyBorder="1" applyAlignment="1">
      <alignment horizontal="center" wrapText="1"/>
    </xf>
    <xf numFmtId="167" fontId="11" fillId="6" borderId="22" xfId="0" applyFont="1" applyFill="1" applyBorder="1" applyAlignment="1">
      <alignment horizontal="center" wrapText="1"/>
    </xf>
    <xf numFmtId="167" fontId="11" fillId="6" borderId="23" xfId="0" applyFont="1" applyFill="1" applyBorder="1" applyAlignment="1">
      <alignment horizontal="left" wrapText="1"/>
    </xf>
    <xf numFmtId="167" fontId="7" fillId="4" borderId="24" xfId="0" applyFont="1" applyFill="1" applyBorder="1"/>
    <xf numFmtId="167" fontId="11" fillId="6" borderId="25" xfId="0" applyFont="1" applyFill="1" applyBorder="1" applyAlignment="1">
      <alignment horizontal="center" wrapText="1"/>
    </xf>
    <xf numFmtId="167" fontId="11" fillId="6" borderId="26" xfId="0" applyFont="1" applyFill="1" applyBorder="1" applyAlignment="1">
      <alignment horizontal="center" wrapText="1"/>
    </xf>
    <xf numFmtId="167" fontId="11" fillId="6" borderId="27" xfId="0" applyFont="1" applyFill="1" applyBorder="1" applyAlignment="1">
      <alignment horizontal="center" wrapText="1"/>
    </xf>
    <xf numFmtId="167" fontId="11" fillId="4" borderId="0" xfId="0" applyFont="1" applyFill="1" applyAlignment="1">
      <alignment horizontal="center" wrapText="1"/>
    </xf>
    <xf numFmtId="167" fontId="9" fillId="5" borderId="1" xfId="0" applyFont="1" applyFill="1" applyBorder="1"/>
    <xf numFmtId="167" fontId="11" fillId="6" borderId="30" xfId="0" applyFont="1" applyFill="1" applyBorder="1" applyAlignment="1">
      <alignment horizontal="left" wrapText="1"/>
    </xf>
    <xf numFmtId="167" fontId="11" fillId="6" borderId="13" xfId="0" applyFont="1" applyFill="1" applyBorder="1" applyAlignment="1">
      <alignment horizontal="center"/>
    </xf>
    <xf numFmtId="167" fontId="11" fillId="6" borderId="13" xfId="0" applyFont="1" applyFill="1" applyBorder="1" applyAlignment="1">
      <alignment horizontal="center" wrapText="1"/>
    </xf>
    <xf numFmtId="167" fontId="12" fillId="4" borderId="31" xfId="0" applyFont="1" applyFill="1" applyBorder="1" applyAlignment="1">
      <alignment horizontal="center" wrapText="1"/>
    </xf>
    <xf numFmtId="167" fontId="11" fillId="6" borderId="32" xfId="0" applyFont="1" applyFill="1" applyBorder="1" applyAlignment="1">
      <alignment horizontal="left" wrapText="1"/>
    </xf>
    <xf numFmtId="167" fontId="11" fillId="6" borderId="19" xfId="0" applyFont="1" applyFill="1" applyBorder="1" applyAlignment="1">
      <alignment horizontal="center"/>
    </xf>
    <xf numFmtId="167" fontId="11" fillId="6" borderId="19" xfId="0" applyFont="1" applyFill="1" applyBorder="1" applyAlignment="1">
      <alignment horizontal="center" wrapText="1"/>
    </xf>
    <xf numFmtId="167" fontId="11" fillId="6" borderId="33" xfId="0" applyFont="1" applyFill="1" applyBorder="1" applyAlignment="1">
      <alignment horizontal="left" wrapText="1"/>
    </xf>
    <xf numFmtId="167" fontId="11" fillId="6" borderId="24" xfId="0" applyFont="1" applyFill="1" applyBorder="1" applyAlignment="1">
      <alignment horizontal="center"/>
    </xf>
    <xf numFmtId="167" fontId="11" fillId="6" borderId="24" xfId="0" applyFont="1" applyFill="1" applyBorder="1" applyAlignment="1">
      <alignment horizontal="center" wrapText="1"/>
    </xf>
    <xf numFmtId="167" fontId="13" fillId="0" borderId="0" xfId="0" applyFont="1" applyAlignment="1"/>
    <xf numFmtId="167" fontId="9" fillId="5" borderId="2" xfId="0" applyFont="1" applyFill="1" applyBorder="1" applyAlignment="1">
      <alignment horizontal="center" wrapText="1"/>
    </xf>
    <xf numFmtId="167" fontId="9" fillId="5" borderId="9" xfId="0" applyFont="1" applyFill="1" applyBorder="1" applyAlignment="1">
      <alignment horizontal="center" wrapText="1"/>
    </xf>
    <xf numFmtId="167" fontId="2" fillId="5" borderId="3" xfId="0" applyFont="1" applyFill="1" applyBorder="1" applyAlignment="1">
      <alignment horizontal="center" vertical="center" wrapText="1"/>
    </xf>
    <xf numFmtId="167" fontId="9" fillId="5" borderId="2" xfId="0" applyFont="1" applyFill="1" applyBorder="1" applyAlignment="1">
      <alignment horizontal="center" vertical="center" wrapText="1"/>
    </xf>
    <xf numFmtId="167" fontId="9" fillId="5" borderId="1" xfId="0" applyFont="1" applyFill="1" applyBorder="1" applyAlignment="1">
      <alignment horizontal="center" vertical="center"/>
    </xf>
    <xf numFmtId="167" fontId="11" fillId="4" borderId="0" xfId="0" applyFont="1" applyFill="1" applyAlignment="1">
      <alignment horizontal="center" vertical="center" wrapText="1"/>
    </xf>
    <xf numFmtId="167" fontId="11" fillId="4" borderId="0" xfId="0" applyFont="1" applyFill="1" applyAlignment="1">
      <alignment horizontal="left" vertical="center" wrapText="1"/>
    </xf>
    <xf numFmtId="167" fontId="7" fillId="4" borderId="0" xfId="0" applyFont="1" applyFill="1" applyAlignment="1">
      <alignment vertical="center"/>
    </xf>
    <xf numFmtId="167" fontId="7" fillId="4" borderId="0" xfId="0" applyFont="1" applyFill="1" applyAlignment="1">
      <alignment horizontal="left" vertical="center"/>
    </xf>
    <xf numFmtId="165" fontId="7" fillId="4" borderId="5" xfId="1" applyNumberFormat="1" applyFont="1" applyFill="1" applyBorder="1"/>
    <xf numFmtId="165" fontId="12" fillId="4" borderId="4" xfId="1" applyNumberFormat="1" applyFont="1" applyFill="1" applyBorder="1"/>
    <xf numFmtId="167" fontId="11" fillId="6" borderId="4" xfId="0" applyFont="1" applyFill="1" applyBorder="1" applyAlignment="1">
      <alignment vertical="center"/>
    </xf>
    <xf numFmtId="167" fontId="11" fillId="6" borderId="6" xfId="0" applyFont="1" applyFill="1" applyBorder="1" applyAlignment="1">
      <alignment horizontal="center" vertical="center"/>
    </xf>
    <xf numFmtId="167" fontId="11" fillId="6" borderId="6" xfId="0" applyFont="1" applyFill="1" applyBorder="1" applyAlignment="1">
      <alignment horizontal="center" vertical="center" wrapText="1"/>
    </xf>
    <xf numFmtId="167" fontId="11" fillId="6" borderId="7" xfId="0" applyFont="1" applyFill="1" applyBorder="1" applyAlignment="1">
      <alignment horizontal="center" vertical="center" wrapText="1"/>
    </xf>
    <xf numFmtId="165" fontId="12" fillId="4" borderId="4" xfId="1" applyNumberFormat="1" applyFont="1" applyFill="1" applyBorder="1" applyAlignment="1">
      <alignment vertical="center"/>
    </xf>
    <xf numFmtId="165" fontId="7" fillId="4" borderId="0" xfId="0" applyNumberFormat="1" applyFont="1" applyFill="1"/>
    <xf numFmtId="165" fontId="7" fillId="4" borderId="0" xfId="1" applyNumberFormat="1" applyFont="1" applyFill="1"/>
    <xf numFmtId="165" fontId="11" fillId="4" borderId="0" xfId="1" applyNumberFormat="1" applyFont="1" applyFill="1" applyAlignment="1">
      <alignment horizontal="center" wrapText="1"/>
    </xf>
    <xf numFmtId="2" fontId="7" fillId="4" borderId="0" xfId="0" applyNumberFormat="1" applyFont="1" applyFill="1" applyAlignment="1">
      <alignment horizontal="right" vertical="center"/>
    </xf>
    <xf numFmtId="167" fontId="9" fillId="5" borderId="8" xfId="0" applyFont="1" applyFill="1" applyBorder="1" applyAlignment="1">
      <alignment horizontal="left" vertical="center" wrapText="1"/>
    </xf>
    <xf numFmtId="167" fontId="9" fillId="5" borderId="2" xfId="0" applyFont="1" applyFill="1" applyBorder="1" applyAlignment="1">
      <alignment horizontal="center" vertical="center"/>
    </xf>
    <xf numFmtId="167" fontId="9" fillId="5" borderId="9" xfId="0" applyFont="1" applyFill="1" applyBorder="1" applyAlignment="1">
      <alignment horizontal="center" vertical="center" wrapText="1"/>
    </xf>
    <xf numFmtId="167" fontId="9" fillId="5" borderId="9" xfId="0" applyFont="1" applyFill="1" applyBorder="1" applyAlignment="1">
      <alignment horizontal="center" vertical="center" wrapText="1"/>
    </xf>
    <xf numFmtId="167" fontId="9" fillId="5" borderId="11" xfId="0" applyFont="1" applyFill="1" applyBorder="1" applyAlignment="1">
      <alignment horizontal="center" vertical="center" wrapText="1"/>
    </xf>
    <xf numFmtId="167" fontId="9" fillId="5" borderId="11" xfId="0" applyFont="1" applyFill="1" applyBorder="1" applyAlignment="1">
      <alignment horizontal="center" vertical="center" wrapText="1"/>
    </xf>
    <xf numFmtId="167" fontId="7" fillId="4" borderId="0" xfId="0" applyFont="1" applyFill="1" applyAlignment="1">
      <alignment horizontal="center" vertical="center"/>
    </xf>
    <xf numFmtId="167" fontId="10" fillId="5" borderId="3" xfId="0" applyFont="1" applyFill="1" applyBorder="1" applyAlignment="1">
      <alignment horizontal="center" vertical="center"/>
    </xf>
    <xf numFmtId="167" fontId="11" fillId="4" borderId="0" xfId="0" applyFont="1" applyFill="1" applyAlignment="1">
      <alignment horizontal="left" vertical="center" wrapText="1"/>
    </xf>
    <xf numFmtId="167" fontId="7" fillId="7" borderId="0" xfId="0" applyFont="1" applyFill="1" applyAlignment="1">
      <alignment horizontal="left" vertical="center"/>
    </xf>
    <xf numFmtId="165" fontId="7" fillId="7" borderId="0" xfId="1" applyNumberFormat="1" applyFont="1" applyFill="1" applyAlignment="1">
      <alignment horizontal="left" vertical="center"/>
    </xf>
    <xf numFmtId="167" fontId="7" fillId="8" borderId="0" xfId="0" applyFont="1" applyFill="1" applyAlignment="1">
      <alignment horizontal="left" vertical="center"/>
    </xf>
    <xf numFmtId="165" fontId="7" fillId="8" borderId="0" xfId="1" applyNumberFormat="1" applyFont="1" applyFill="1" applyAlignment="1">
      <alignment horizontal="left" vertical="center"/>
    </xf>
    <xf numFmtId="167" fontId="11" fillId="4" borderId="0" xfId="0" applyFont="1" applyFill="1"/>
    <xf numFmtId="165" fontId="11" fillId="4" borderId="0" xfId="1" applyNumberFormat="1" applyFont="1" applyFill="1" applyAlignment="1">
      <alignment horizontal="center" vertical="center" wrapText="1"/>
    </xf>
    <xf numFmtId="165" fontId="11" fillId="4" borderId="0" xfId="1" applyNumberFormat="1" applyFont="1" applyFill="1" applyAlignment="1">
      <alignment horizontal="right" vertical="center" wrapText="1"/>
    </xf>
    <xf numFmtId="167" fontId="17" fillId="4" borderId="19" xfId="0" applyFont="1" applyFill="1" applyBorder="1" applyAlignment="1">
      <alignment horizontal="center" vertical="center" wrapText="1"/>
    </xf>
    <xf numFmtId="9" fontId="16" fillId="4" borderId="0" xfId="4" applyFont="1" applyFill="1" applyAlignment="1">
      <alignment horizontal="center" vertical="center"/>
    </xf>
    <xf numFmtId="167" fontId="11" fillId="4" borderId="0" xfId="0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center"/>
    </xf>
    <xf numFmtId="167" fontId="11" fillId="4" borderId="0" xfId="0" applyFont="1" applyFill="1" applyAlignment="1">
      <alignment horizontal="right" vertical="center"/>
    </xf>
    <xf numFmtId="165" fontId="11" fillId="4" borderId="0" xfId="1" applyNumberFormat="1" applyFont="1" applyFill="1" applyAlignment="1">
      <alignment horizontal="right" vertical="center"/>
    </xf>
    <xf numFmtId="167" fontId="6" fillId="2" borderId="36" xfId="7" applyFill="1" applyAlignment="1">
      <alignment horizontal="center" vertical="center" wrapText="1"/>
    </xf>
    <xf numFmtId="167" fontId="11" fillId="4" borderId="0" xfId="0" applyFont="1" applyFill="1" applyAlignment="1">
      <alignment vertical="center" wrapText="1"/>
    </xf>
    <xf numFmtId="44" fontId="7" fillId="4" borderId="13" xfId="2" applyFont="1" applyFill="1" applyBorder="1"/>
    <xf numFmtId="167" fontId="11" fillId="6" borderId="18" xfId="0" applyFont="1" applyFill="1" applyBorder="1" applyAlignment="1">
      <alignment horizontal="right" wrapText="1"/>
    </xf>
    <xf numFmtId="167" fontId="11" fillId="6" borderId="18" xfId="0" applyFont="1" applyFill="1" applyBorder="1" applyAlignment="1">
      <alignment horizontal="left" vertical="center" wrapText="1"/>
    </xf>
    <xf numFmtId="165" fontId="7" fillId="4" borderId="13" xfId="1" applyNumberFormat="1" applyFont="1" applyFill="1" applyBorder="1"/>
    <xf numFmtId="165" fontId="11" fillId="4" borderId="14" xfId="1" applyNumberFormat="1" applyFont="1" applyFill="1" applyBorder="1" applyAlignment="1">
      <alignment horizontal="center" wrapText="1"/>
    </xf>
    <xf numFmtId="165" fontId="12" fillId="4" borderId="17" xfId="1" applyNumberFormat="1" applyFont="1" applyFill="1" applyBorder="1"/>
    <xf numFmtId="165" fontId="12" fillId="4" borderId="29" xfId="1" applyNumberFormat="1" applyFont="1" applyFill="1" applyBorder="1"/>
    <xf numFmtId="167" fontId="7" fillId="4" borderId="13" xfId="0" applyNumberFormat="1" applyFont="1" applyFill="1" applyBorder="1" applyAlignment="1">
      <alignment horizontal="right" vertical="center"/>
    </xf>
    <xf numFmtId="165" fontId="7" fillId="4" borderId="19" xfId="1" applyNumberFormat="1" applyFont="1" applyFill="1" applyBorder="1"/>
    <xf numFmtId="165" fontId="7" fillId="4" borderId="24" xfId="1" applyNumberFormat="1" applyFont="1" applyFill="1" applyBorder="1"/>
    <xf numFmtId="165" fontId="11" fillId="4" borderId="28" xfId="1" applyNumberFormat="1" applyFont="1" applyFill="1" applyBorder="1" applyAlignment="1">
      <alignment horizontal="center" wrapText="1"/>
    </xf>
    <xf numFmtId="167" fontId="7" fillId="3" borderId="34" xfId="3" applyFont="1"/>
    <xf numFmtId="166" fontId="11" fillId="4" borderId="0" xfId="0" applyNumberFormat="1" applyFont="1" applyFill="1" applyAlignment="1">
      <alignment horizontal="right" vertical="center"/>
    </xf>
    <xf numFmtId="167" fontId="6" fillId="4" borderId="36" xfId="7" applyFill="1" applyAlignment="1"/>
    <xf numFmtId="167" fontId="7" fillId="4" borderId="0" xfId="0" applyFont="1" applyFill="1" applyBorder="1" applyAlignment="1">
      <alignment horizontal="right" vertical="center"/>
    </xf>
    <xf numFmtId="167" fontId="4" fillId="0" borderId="0" xfId="5"/>
    <xf numFmtId="43" fontId="7" fillId="4" borderId="0" xfId="0" applyNumberFormat="1" applyFont="1" applyFill="1"/>
    <xf numFmtId="167" fontId="27" fillId="0" borderId="0" xfId="0" applyFont="1" applyAlignment="1"/>
    <xf numFmtId="167" fontId="28" fillId="0" borderId="0" xfId="0" applyFont="1" applyAlignment="1"/>
    <xf numFmtId="167" fontId="29" fillId="4" borderId="0" xfId="5" applyFont="1" applyFill="1"/>
    <xf numFmtId="167" fontId="30" fillId="4" borderId="0" xfId="0" applyFont="1" applyFill="1"/>
    <xf numFmtId="167" fontId="12" fillId="4" borderId="0" xfId="0" applyFont="1" applyFill="1"/>
    <xf numFmtId="167" fontId="19" fillId="4" borderId="0" xfId="8" applyFill="1"/>
    <xf numFmtId="167" fontId="8" fillId="4" borderId="28" xfId="0" applyFont="1" applyFill="1" applyBorder="1" applyAlignment="1">
      <alignment horizontal="left" wrapText="1"/>
    </xf>
    <xf numFmtId="167" fontId="6" fillId="4" borderId="0" xfId="0" applyFont="1" applyFill="1" applyAlignment="1">
      <alignment horizontal="left" vertical="center"/>
    </xf>
    <xf numFmtId="167" fontId="12" fillId="4" borderId="0" xfId="0" applyFont="1" applyFill="1" applyAlignment="1">
      <alignment horizontal="right" vertical="center"/>
    </xf>
    <xf numFmtId="43" fontId="18" fillId="4" borderId="4" xfId="1" applyNumberFormat="1" applyFont="1" applyFill="1" applyBorder="1"/>
    <xf numFmtId="170" fontId="18" fillId="4" borderId="4" xfId="1" applyNumberFormat="1" applyFont="1" applyFill="1" applyBorder="1"/>
    <xf numFmtId="167" fontId="11" fillId="3" borderId="34" xfId="3" applyFont="1"/>
    <xf numFmtId="167" fontId="17" fillId="3" borderId="34" xfId="3" applyFont="1" applyAlignment="1">
      <alignment horizontal="left" vertical="center"/>
    </xf>
    <xf numFmtId="2" fontId="11" fillId="12" borderId="0" xfId="0" applyNumberFormat="1" applyFont="1" applyFill="1" applyAlignment="1">
      <alignment horizontal="right" vertical="center"/>
    </xf>
    <xf numFmtId="167" fontId="11" fillId="12" borderId="0" xfId="0" applyFont="1" applyFill="1" applyAlignment="1">
      <alignment horizontal="left" vertical="center"/>
    </xf>
    <xf numFmtId="43" fontId="11" fillId="12" borderId="0" xfId="1" applyNumberFormat="1" applyFont="1" applyFill="1" applyAlignment="1">
      <alignment horizontal="right" vertical="center"/>
    </xf>
    <xf numFmtId="166" fontId="11" fillId="14" borderId="0" xfId="0" applyNumberFormat="1" applyFont="1" applyFill="1" applyAlignment="1">
      <alignment horizontal="right" vertical="center"/>
    </xf>
    <xf numFmtId="167" fontId="11" fillId="14" borderId="0" xfId="0" applyFont="1" applyFill="1" applyAlignment="1">
      <alignment horizontal="left" vertical="center"/>
    </xf>
    <xf numFmtId="44" fontId="11" fillId="15" borderId="0" xfId="2" applyFont="1" applyFill="1" applyAlignment="1">
      <alignment horizontal="right" vertical="center"/>
    </xf>
    <xf numFmtId="167" fontId="11" fillId="15" borderId="0" xfId="0" applyFont="1" applyFill="1" applyAlignment="1">
      <alignment horizontal="left" vertical="center"/>
    </xf>
    <xf numFmtId="164" fontId="11" fillId="12" borderId="0" xfId="1" applyNumberFormat="1" applyFont="1" applyFill="1" applyAlignment="1">
      <alignment horizontal="right" vertical="center"/>
    </xf>
    <xf numFmtId="169" fontId="11" fillId="12" borderId="0" xfId="0" applyNumberFormat="1" applyFont="1" applyFill="1" applyAlignment="1">
      <alignment horizontal="right" vertical="center"/>
    </xf>
    <xf numFmtId="167" fontId="31" fillId="4" borderId="0" xfId="7" applyFont="1" applyFill="1" applyBorder="1" applyAlignment="1">
      <alignment horizontal="right" vertical="center"/>
    </xf>
    <xf numFmtId="167" fontId="11" fillId="12" borderId="44" xfId="0" applyFont="1" applyFill="1" applyBorder="1" applyAlignment="1">
      <alignment horizontal="right" vertical="center"/>
    </xf>
    <xf numFmtId="167" fontId="11" fillId="12" borderId="45" xfId="0" applyFont="1" applyFill="1" applyBorder="1" applyAlignment="1">
      <alignment horizontal="right" vertical="center"/>
    </xf>
    <xf numFmtId="167" fontId="11" fillId="12" borderId="46" xfId="0" applyFont="1" applyFill="1" applyBorder="1" applyAlignment="1">
      <alignment horizontal="right" vertical="center"/>
    </xf>
    <xf numFmtId="167" fontId="11" fillId="12" borderId="47" xfId="0" applyFont="1" applyFill="1" applyBorder="1" applyAlignment="1">
      <alignment horizontal="right" vertical="center"/>
    </xf>
    <xf numFmtId="167" fontId="11" fillId="14" borderId="45" xfId="0" applyFont="1" applyFill="1" applyBorder="1" applyAlignment="1">
      <alignment horizontal="right" vertical="center"/>
    </xf>
    <xf numFmtId="167" fontId="11" fillId="14" borderId="46" xfId="0" applyFont="1" applyFill="1" applyBorder="1" applyAlignment="1">
      <alignment horizontal="right" vertical="center"/>
    </xf>
    <xf numFmtId="167" fontId="11" fillId="14" borderId="47" xfId="0" applyFont="1" applyFill="1" applyBorder="1" applyAlignment="1">
      <alignment horizontal="right" vertical="center"/>
    </xf>
    <xf numFmtId="167" fontId="11" fillId="15" borderId="45" xfId="0" applyFont="1" applyFill="1" applyBorder="1" applyAlignment="1">
      <alignment horizontal="right" vertical="center"/>
    </xf>
    <xf numFmtId="167" fontId="11" fillId="15" borderId="46" xfId="0" applyFont="1" applyFill="1" applyBorder="1" applyAlignment="1">
      <alignment horizontal="right" vertical="center"/>
    </xf>
    <xf numFmtId="167" fontId="11" fillId="15" borderId="47" xfId="0" applyFont="1" applyFill="1" applyBorder="1" applyAlignment="1">
      <alignment horizontal="right" vertical="center"/>
    </xf>
    <xf numFmtId="10" fontId="11" fillId="15" borderId="48" xfId="4" applyNumberFormat="1" applyFont="1" applyFill="1" applyBorder="1" applyAlignment="1">
      <alignment horizontal="right" vertical="center"/>
    </xf>
    <xf numFmtId="167" fontId="11" fillId="15" borderId="48" xfId="0" applyFont="1" applyFill="1" applyBorder="1" applyAlignment="1">
      <alignment horizontal="left" vertical="center"/>
    </xf>
    <xf numFmtId="167" fontId="11" fillId="13" borderId="0" xfId="0" applyFont="1" applyFill="1" applyBorder="1" applyAlignment="1">
      <alignment horizontal="right" vertical="center"/>
    </xf>
    <xf numFmtId="167" fontId="6" fillId="13" borderId="0" xfId="0" applyFont="1" applyFill="1" applyAlignment="1">
      <alignment horizontal="left" vertical="center"/>
    </xf>
    <xf numFmtId="167" fontId="11" fillId="13" borderId="0" xfId="0" applyFont="1" applyFill="1" applyAlignment="1">
      <alignment horizontal="center" wrapText="1"/>
    </xf>
    <xf numFmtId="167" fontId="7" fillId="13" borderId="0" xfId="0" applyFont="1" applyFill="1"/>
    <xf numFmtId="167" fontId="32" fillId="4" borderId="35" xfId="6" applyFont="1" applyFill="1"/>
    <xf numFmtId="167" fontId="11" fillId="4" borderId="0" xfId="0" applyFont="1" applyFill="1" applyAlignment="1">
      <alignment horizontal="right" wrapText="1"/>
    </xf>
    <xf numFmtId="168" fontId="16" fillId="0" borderId="0" xfId="4" applyNumberFormat="1" applyFont="1" applyFill="1" applyAlignment="1">
      <alignment horizontal="center" vertical="center"/>
    </xf>
    <xf numFmtId="168" fontId="6" fillId="0" borderId="36" xfId="7" applyNumberFormat="1" applyFill="1" applyAlignment="1">
      <alignment horizontal="center" vertical="center" wrapText="1"/>
    </xf>
    <xf numFmtId="168" fontId="11" fillId="0" borderId="37" xfId="4" applyNumberFormat="1" applyFont="1" applyFill="1" applyBorder="1" applyAlignment="1">
      <alignment horizontal="center" vertical="center" wrapText="1"/>
    </xf>
    <xf numFmtId="167" fontId="7" fillId="0" borderId="0" xfId="0" applyFont="1" applyFill="1"/>
    <xf numFmtId="165" fontId="30" fillId="4" borderId="13" xfId="1" applyNumberFormat="1" applyFont="1" applyFill="1" applyBorder="1"/>
    <xf numFmtId="165" fontId="30" fillId="4" borderId="19" xfId="1" applyNumberFormat="1" applyFont="1" applyFill="1" applyBorder="1"/>
    <xf numFmtId="165" fontId="30" fillId="4" borderId="24" xfId="1" applyNumberFormat="1" applyFont="1" applyFill="1" applyBorder="1"/>
    <xf numFmtId="165" fontId="30" fillId="4" borderId="5" xfId="1" applyNumberFormat="1" applyFont="1" applyFill="1" applyBorder="1" applyAlignment="1">
      <alignment vertical="center"/>
    </xf>
    <xf numFmtId="165" fontId="30" fillId="4" borderId="5" xfId="1" applyNumberFormat="1" applyFont="1" applyFill="1" applyBorder="1"/>
    <xf numFmtId="167" fontId="0" fillId="0" borderId="0" xfId="0" applyBorder="1"/>
    <xf numFmtId="171" fontId="11" fillId="15" borderId="0" xfId="2" applyNumberFormat="1" applyFont="1" applyFill="1" applyAlignment="1">
      <alignment horizontal="right" vertical="center"/>
    </xf>
    <xf numFmtId="44" fontId="7" fillId="4" borderId="13" xfId="2" applyFont="1" applyFill="1" applyBorder="1" applyAlignment="1">
      <alignment horizontal="right" vertical="center"/>
    </xf>
    <xf numFmtId="169" fontId="12" fillId="4" borderId="31" xfId="0" applyNumberFormat="1" applyFont="1" applyFill="1" applyBorder="1" applyAlignment="1">
      <alignment horizontal="center" wrapText="1"/>
    </xf>
    <xf numFmtId="164" fontId="6" fillId="4" borderId="36" xfId="1" applyNumberFormat="1" applyFont="1" applyFill="1" applyBorder="1" applyAlignment="1"/>
    <xf numFmtId="10" fontId="16" fillId="0" borderId="0" xfId="4" applyNumberFormat="1" applyFont="1" applyFill="1" applyAlignment="1">
      <alignment horizontal="center" vertical="center"/>
    </xf>
    <xf numFmtId="10" fontId="6" fillId="0" borderId="36" xfId="4" applyNumberFormat="1" applyFont="1" applyFill="1" applyBorder="1" applyAlignment="1">
      <alignment horizontal="center" vertical="center" wrapText="1"/>
    </xf>
    <xf numFmtId="10" fontId="11" fillId="0" borderId="37" xfId="4" applyNumberFormat="1" applyFont="1" applyFill="1" applyBorder="1" applyAlignment="1">
      <alignment horizontal="center" vertical="center" wrapText="1"/>
    </xf>
    <xf numFmtId="10" fontId="16" fillId="0" borderId="48" xfId="4" applyNumberFormat="1" applyFont="1" applyFill="1" applyBorder="1" applyAlignment="1">
      <alignment horizontal="center" vertical="center"/>
    </xf>
    <xf numFmtId="10" fontId="7" fillId="0" borderId="0" xfId="4" applyNumberFormat="1" applyFont="1" applyFill="1" applyAlignment="1">
      <alignment horizontal="center" vertical="center"/>
    </xf>
    <xf numFmtId="10" fontId="16" fillId="4" borderId="0" xfId="4" applyNumberFormat="1" applyFont="1" applyFill="1" applyAlignment="1">
      <alignment horizontal="center" vertical="center"/>
    </xf>
    <xf numFmtId="167" fontId="0" fillId="11" borderId="49" xfId="0" applyFill="1" applyBorder="1"/>
    <xf numFmtId="167" fontId="0" fillId="11" borderId="50" xfId="0" applyFill="1" applyBorder="1"/>
    <xf numFmtId="167" fontId="6" fillId="15" borderId="51" xfId="7" applyFill="1" applyBorder="1" applyAlignment="1">
      <alignment horizontal="right" vertical="center"/>
    </xf>
    <xf numFmtId="167" fontId="22" fillId="15" borderId="0" xfId="0" applyFont="1" applyFill="1" applyBorder="1" applyAlignment="1">
      <alignment vertical="center" wrapText="1"/>
    </xf>
    <xf numFmtId="167" fontId="0" fillId="11" borderId="51" xfId="0" applyFill="1" applyBorder="1"/>
    <xf numFmtId="167" fontId="0" fillId="11" borderId="0" xfId="0" applyFill="1" applyBorder="1"/>
    <xf numFmtId="2" fontId="0" fillId="11" borderId="0" xfId="0" applyNumberFormat="1" applyFill="1" applyBorder="1"/>
    <xf numFmtId="2" fontId="0" fillId="11" borderId="52" xfId="0" applyNumberFormat="1" applyFill="1" applyBorder="1"/>
    <xf numFmtId="167" fontId="0" fillId="11" borderId="52" xfId="0" applyFill="1" applyBorder="1"/>
    <xf numFmtId="1" fontId="0" fillId="11" borderId="0" xfId="0" applyNumberFormat="1" applyFill="1" applyBorder="1"/>
    <xf numFmtId="168" fontId="3" fillId="11" borderId="0" xfId="4" applyNumberFormat="1" applyFont="1" applyFill="1" applyBorder="1"/>
    <xf numFmtId="167" fontId="0" fillId="11" borderId="53" xfId="0" applyFill="1" applyBorder="1"/>
    <xf numFmtId="167" fontId="0" fillId="11" borderId="54" xfId="0" applyFill="1" applyBorder="1" applyAlignment="1">
      <alignment wrapText="1"/>
    </xf>
    <xf numFmtId="168" fontId="21" fillId="11" borderId="54" xfId="4" applyNumberFormat="1" applyFont="1" applyFill="1" applyBorder="1" applyAlignment="1">
      <alignment horizontal="center" vertical="center"/>
    </xf>
    <xf numFmtId="43" fontId="7" fillId="15" borderId="54" xfId="0" applyNumberFormat="1" applyFont="1" applyFill="1" applyBorder="1"/>
    <xf numFmtId="167" fontId="0" fillId="11" borderId="54" xfId="0" applyFill="1" applyBorder="1"/>
    <xf numFmtId="167" fontId="0" fillId="11" borderId="55" xfId="0" applyFill="1" applyBorder="1"/>
    <xf numFmtId="166" fontId="0" fillId="11" borderId="0" xfId="0" applyNumberFormat="1" applyFill="1" applyBorder="1"/>
    <xf numFmtId="166" fontId="0" fillId="11" borderId="52" xfId="0" applyNumberFormat="1" applyFill="1" applyBorder="1"/>
    <xf numFmtId="165" fontId="0" fillId="11" borderId="54" xfId="1" applyNumberFormat="1" applyFont="1" applyFill="1" applyBorder="1"/>
    <xf numFmtId="165" fontId="0" fillId="11" borderId="55" xfId="1" applyNumberFormat="1" applyFont="1" applyFill="1" applyBorder="1"/>
    <xf numFmtId="167" fontId="26" fillId="11" borderId="0" xfId="0" applyFont="1" applyFill="1" applyBorder="1" applyAlignment="1">
      <alignment horizontal="right"/>
    </xf>
    <xf numFmtId="166" fontId="7" fillId="11" borderId="0" xfId="0" applyNumberFormat="1" applyFont="1" applyFill="1" applyBorder="1"/>
    <xf numFmtId="165" fontId="7" fillId="11" borderId="0" xfId="1" applyNumberFormat="1" applyFont="1" applyFill="1" applyBorder="1" applyAlignment="1">
      <alignment horizontal="right"/>
    </xf>
    <xf numFmtId="167" fontId="7" fillId="11" borderId="0" xfId="0" applyFont="1" applyFill="1" applyBorder="1" applyAlignment="1">
      <alignment horizontal="right"/>
    </xf>
    <xf numFmtId="168" fontId="3" fillId="11" borderId="0" xfId="4" applyNumberFormat="1" applyFont="1" applyFill="1" applyBorder="1" applyAlignment="1">
      <alignment horizontal="right"/>
    </xf>
    <xf numFmtId="167" fontId="7" fillId="11" borderId="54" xfId="0" applyFont="1" applyFill="1" applyBorder="1" applyAlignment="1">
      <alignment horizontal="right" wrapText="1"/>
    </xf>
    <xf numFmtId="168" fontId="20" fillId="11" borderId="54" xfId="4" applyNumberFormat="1" applyFont="1" applyFill="1" applyBorder="1" applyAlignment="1">
      <alignment horizontal="right" vertical="center"/>
    </xf>
    <xf numFmtId="167" fontId="6" fillId="11" borderId="57" xfId="0" applyFont="1" applyFill="1" applyBorder="1"/>
    <xf numFmtId="167" fontId="6" fillId="11" borderId="56" xfId="0" applyFont="1" applyFill="1" applyBorder="1"/>
    <xf numFmtId="167" fontId="22" fillId="15" borderId="58" xfId="0" applyFont="1" applyFill="1" applyBorder="1" applyAlignment="1">
      <alignment vertical="center" wrapText="1"/>
    </xf>
    <xf numFmtId="167" fontId="0" fillId="11" borderId="57" xfId="0" applyFill="1" applyBorder="1"/>
    <xf numFmtId="167" fontId="0" fillId="11" borderId="56" xfId="0" applyFill="1" applyBorder="1"/>
    <xf numFmtId="166" fontId="22" fillId="15" borderId="59" xfId="0" applyNumberFormat="1" applyFont="1" applyFill="1" applyBorder="1" applyAlignment="1">
      <alignment horizontal="right" vertical="center"/>
    </xf>
    <xf numFmtId="166" fontId="22" fillId="15" borderId="45" xfId="0" applyNumberFormat="1" applyFont="1" applyFill="1" applyBorder="1" applyAlignment="1">
      <alignment horizontal="right" vertical="center"/>
    </xf>
    <xf numFmtId="166" fontId="22" fillId="15" borderId="60" xfId="0" applyNumberFormat="1" applyFont="1" applyFill="1" applyBorder="1" applyAlignment="1">
      <alignment horizontal="right" vertical="center"/>
    </xf>
    <xf numFmtId="2" fontId="22" fillId="15" borderId="59" xfId="0" applyNumberFormat="1" applyFont="1" applyFill="1" applyBorder="1" applyAlignment="1">
      <alignment horizontal="right" vertical="center"/>
    </xf>
    <xf numFmtId="2" fontId="22" fillId="15" borderId="45" xfId="0" applyNumberFormat="1" applyFont="1" applyFill="1" applyBorder="1" applyAlignment="1">
      <alignment horizontal="right" vertical="center"/>
    </xf>
    <xf numFmtId="2" fontId="22" fillId="15" borderId="60" xfId="0" applyNumberFormat="1" applyFont="1" applyFill="1" applyBorder="1" applyAlignment="1">
      <alignment horizontal="right" vertical="center"/>
    </xf>
    <xf numFmtId="167" fontId="34" fillId="11" borderId="59" xfId="0" applyFont="1" applyFill="1" applyBorder="1"/>
    <xf numFmtId="168" fontId="35" fillId="11" borderId="61" xfId="4" applyNumberFormat="1" applyFont="1" applyFill="1" applyBorder="1"/>
    <xf numFmtId="167" fontId="22" fillId="11" borderId="59" xfId="0" applyFont="1" applyFill="1" applyBorder="1"/>
    <xf numFmtId="168" fontId="36" fillId="11" borderId="61" xfId="4" applyNumberFormat="1" applyFont="1" applyFill="1" applyBorder="1"/>
    <xf numFmtId="2" fontId="22" fillId="11" borderId="59" xfId="0" applyNumberFormat="1" applyFont="1" applyFill="1" applyBorder="1" applyAlignment="1">
      <alignment horizontal="right" vertical="center"/>
    </xf>
    <xf numFmtId="2" fontId="22" fillId="11" borderId="45" xfId="0" applyNumberFormat="1" applyFont="1" applyFill="1" applyBorder="1" applyAlignment="1">
      <alignment horizontal="right" vertical="center"/>
    </xf>
    <xf numFmtId="2" fontId="22" fillId="11" borderId="60" xfId="0" applyNumberFormat="1" applyFont="1" applyFill="1" applyBorder="1" applyAlignment="1">
      <alignment horizontal="right" vertical="center"/>
    </xf>
    <xf numFmtId="167" fontId="22" fillId="11" borderId="59" xfId="0" applyFont="1" applyFill="1" applyBorder="1" applyAlignment="1">
      <alignment horizontal="right"/>
    </xf>
    <xf numFmtId="165" fontId="1" fillId="11" borderId="0" xfId="1" applyNumberFormat="1" applyFont="1" applyFill="1" applyBorder="1" applyAlignment="1">
      <alignment horizontal="right" vertical="center"/>
    </xf>
    <xf numFmtId="165" fontId="1" fillId="11" borderId="52" xfId="1" applyNumberFormat="1" applyFont="1" applyFill="1" applyBorder="1" applyAlignment="1">
      <alignment horizontal="right" vertical="center"/>
    </xf>
    <xf numFmtId="165" fontId="0" fillId="11" borderId="0" xfId="1" applyNumberFormat="1" applyFont="1" applyFill="1" applyBorder="1"/>
    <xf numFmtId="165" fontId="0" fillId="11" borderId="52" xfId="1" applyNumberFormat="1" applyFont="1" applyFill="1" applyBorder="1"/>
    <xf numFmtId="165" fontId="12" fillId="15" borderId="4" xfId="1" applyNumberFormat="1" applyFont="1" applyFill="1" applyBorder="1"/>
    <xf numFmtId="49" fontId="0" fillId="11" borderId="57" xfId="0" applyNumberFormat="1" applyFill="1" applyBorder="1"/>
    <xf numFmtId="49" fontId="0" fillId="11" borderId="57" xfId="0" applyNumberFormat="1" applyFill="1" applyBorder="1" applyAlignment="1">
      <alignment wrapText="1"/>
    </xf>
    <xf numFmtId="165" fontId="0" fillId="0" borderId="0" xfId="0" applyNumberFormat="1"/>
    <xf numFmtId="168" fontId="35" fillId="11" borderId="61" xfId="4" applyNumberFormat="1" applyFont="1" applyFill="1" applyBorder="1" applyAlignment="1">
      <alignment horizontal="center"/>
    </xf>
    <xf numFmtId="167" fontId="0" fillId="0" borderId="0" xfId="0" applyAlignment="1">
      <alignment horizontal="center"/>
    </xf>
    <xf numFmtId="168" fontId="3" fillId="11" borderId="0" xfId="4" applyNumberFormat="1" applyFont="1" applyFill="1" applyBorder="1" applyAlignment="1">
      <alignment horizontal="center"/>
    </xf>
    <xf numFmtId="167" fontId="0" fillId="0" borderId="0" xfId="0" applyAlignment="1">
      <alignment vertical="center" wrapText="1"/>
    </xf>
    <xf numFmtId="167" fontId="0" fillId="0" borderId="0" xfId="0"/>
    <xf numFmtId="167" fontId="0" fillId="16" borderId="4" xfId="0" applyFill="1" applyBorder="1"/>
    <xf numFmtId="167" fontId="37" fillId="16" borderId="62" xfId="0" applyFont="1" applyFill="1" applyBorder="1" applyAlignment="1">
      <alignment horizontal="center" vertical="center"/>
    </xf>
    <xf numFmtId="167" fontId="37" fillId="16" borderId="62" xfId="0" applyFont="1" applyFill="1" applyBorder="1" applyAlignment="1">
      <alignment horizontal="center" vertical="center" wrapText="1"/>
    </xf>
    <xf numFmtId="167" fontId="38" fillId="16" borderId="62" xfId="0" applyFont="1" applyFill="1" applyBorder="1" applyAlignment="1">
      <alignment horizontal="center" vertical="center" wrapText="1"/>
    </xf>
    <xf numFmtId="167" fontId="39" fillId="16" borderId="29" xfId="0" applyFont="1" applyFill="1" applyBorder="1" applyAlignment="1">
      <alignment vertical="center"/>
    </xf>
    <xf numFmtId="167" fontId="0" fillId="16" borderId="63" xfId="0" applyFill="1" applyBorder="1" applyAlignment="1">
      <alignment vertical="center"/>
    </xf>
    <xf numFmtId="167" fontId="17" fillId="16" borderId="63" xfId="0" applyFont="1" applyFill="1" applyBorder="1" applyAlignment="1">
      <alignment vertical="center"/>
    </xf>
    <xf numFmtId="167" fontId="40" fillId="16" borderId="63" xfId="0" applyFont="1" applyFill="1" applyBorder="1" applyAlignment="1">
      <alignment vertical="center" wrapText="1"/>
    </xf>
    <xf numFmtId="167" fontId="0" fillId="16" borderId="63" xfId="0" applyFill="1" applyBorder="1" applyAlignment="1">
      <alignment vertical="top"/>
    </xf>
    <xf numFmtId="167" fontId="0" fillId="0" borderId="4" xfId="0" applyBorder="1"/>
    <xf numFmtId="167" fontId="39" fillId="16" borderId="62" xfId="0" applyFont="1" applyFill="1" applyBorder="1" applyAlignment="1">
      <alignment vertical="center"/>
    </xf>
    <xf numFmtId="167" fontId="39" fillId="16" borderId="62" xfId="0" applyFont="1" applyFill="1" applyBorder="1" applyAlignment="1">
      <alignment vertical="center" wrapText="1"/>
    </xf>
    <xf numFmtId="167" fontId="39" fillId="0" borderId="29" xfId="0" applyFont="1" applyBorder="1" applyAlignment="1">
      <alignment vertical="center"/>
    </xf>
    <xf numFmtId="167" fontId="17" fillId="16" borderId="63" xfId="0" applyFont="1" applyFill="1" applyBorder="1" applyAlignment="1">
      <alignment horizontal="center" vertical="center"/>
    </xf>
    <xf numFmtId="167" fontId="40" fillId="16" borderId="63" xfId="0" applyFont="1" applyFill="1" applyBorder="1" applyAlignment="1">
      <alignment horizontal="center" vertical="center" wrapText="1"/>
    </xf>
    <xf numFmtId="167" fontId="39" fillId="0" borderId="29" xfId="0" applyFont="1" applyBorder="1" applyAlignment="1">
      <alignment vertical="center" wrapText="1"/>
    </xf>
    <xf numFmtId="167" fontId="22" fillId="17" borderId="0" xfId="0" applyFont="1" applyFill="1"/>
    <xf numFmtId="167" fontId="0" fillId="17" borderId="0" xfId="0" applyFill="1"/>
    <xf numFmtId="49" fontId="0" fillId="11" borderId="57" xfId="0" applyNumberFormat="1" applyFill="1" applyBorder="1" applyAlignment="1">
      <alignment horizontal="center"/>
    </xf>
    <xf numFmtId="2" fontId="22" fillId="15" borderId="60" xfId="0" applyNumberFormat="1" applyFont="1" applyFill="1" applyBorder="1" applyAlignment="1">
      <alignment horizontal="center" vertical="center"/>
    </xf>
    <xf numFmtId="2" fontId="22" fillId="15" borderId="45" xfId="0" applyNumberFormat="1" applyFont="1" applyFill="1" applyBorder="1" applyAlignment="1">
      <alignment horizontal="center" vertical="center"/>
    </xf>
    <xf numFmtId="2" fontId="22" fillId="15" borderId="59" xfId="0" applyNumberFormat="1" applyFont="1" applyFill="1" applyBorder="1" applyAlignment="1">
      <alignment horizontal="center" vertical="center"/>
    </xf>
    <xf numFmtId="166" fontId="0" fillId="11" borderId="0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11" borderId="0" xfId="1" applyNumberFormat="1" applyFont="1" applyFill="1" applyBorder="1" applyAlignment="1">
      <alignment horizontal="center"/>
    </xf>
    <xf numFmtId="10" fontId="40" fillId="16" borderId="63" xfId="4" applyNumberFormat="1" applyFont="1" applyFill="1" applyBorder="1" applyAlignment="1">
      <alignment horizontal="center" vertical="center" wrapText="1"/>
    </xf>
    <xf numFmtId="170" fontId="17" fillId="16" borderId="63" xfId="1" applyNumberFormat="1" applyFont="1" applyFill="1" applyBorder="1" applyAlignment="1">
      <alignment horizontal="center" vertical="center"/>
    </xf>
    <xf numFmtId="170" fontId="0" fillId="16" borderId="63" xfId="1" applyNumberFormat="1" applyFont="1" applyFill="1" applyBorder="1" applyAlignment="1">
      <alignment vertical="center"/>
    </xf>
    <xf numFmtId="172" fontId="40" fillId="16" borderId="63" xfId="1" applyNumberFormat="1" applyFont="1" applyFill="1" applyBorder="1" applyAlignment="1">
      <alignment horizontal="center" vertical="center" wrapText="1"/>
    </xf>
    <xf numFmtId="165" fontId="17" fillId="16" borderId="63" xfId="1" applyNumberFormat="1" applyFont="1" applyFill="1" applyBorder="1" applyAlignment="1">
      <alignment horizontal="center" vertical="center"/>
    </xf>
    <xf numFmtId="165" fontId="40" fillId="16" borderId="63" xfId="1" applyNumberFormat="1" applyFont="1" applyFill="1" applyBorder="1" applyAlignment="1">
      <alignment horizontal="center" vertical="center" wrapText="1"/>
    </xf>
    <xf numFmtId="165" fontId="0" fillId="16" borderId="63" xfId="1" applyNumberFormat="1" applyFont="1" applyFill="1" applyBorder="1" applyAlignment="1">
      <alignment vertical="center"/>
    </xf>
    <xf numFmtId="10" fontId="17" fillId="16" borderId="63" xfId="4" applyNumberFormat="1" applyFont="1" applyFill="1" applyBorder="1" applyAlignment="1">
      <alignment horizontal="center" vertical="center"/>
    </xf>
    <xf numFmtId="10" fontId="0" fillId="16" borderId="63" xfId="4" applyNumberFormat="1" applyFont="1" applyFill="1" applyBorder="1" applyAlignment="1">
      <alignment vertical="center"/>
    </xf>
    <xf numFmtId="1" fontId="0" fillId="11" borderId="0" xfId="0" applyNumberFormat="1" applyFill="1" applyBorder="1" applyAlignment="1">
      <alignment horizontal="center"/>
    </xf>
    <xf numFmtId="2" fontId="22" fillId="11" borderId="60" xfId="0" applyNumberFormat="1" applyFont="1" applyFill="1" applyBorder="1" applyAlignment="1">
      <alignment horizontal="center" vertical="center"/>
    </xf>
    <xf numFmtId="165" fontId="1" fillId="11" borderId="52" xfId="1" applyNumberFormat="1" applyFont="1" applyFill="1" applyBorder="1" applyAlignment="1">
      <alignment horizontal="center" vertical="center"/>
    </xf>
    <xf numFmtId="165" fontId="1" fillId="11" borderId="0" xfId="1" applyNumberFormat="1" applyFont="1" applyFill="1" applyBorder="1" applyAlignment="1">
      <alignment horizontal="center" vertical="center"/>
    </xf>
    <xf numFmtId="170" fontId="0" fillId="0" borderId="0" xfId="1" applyNumberFormat="1" applyFont="1" applyAlignment="1">
      <alignment horizontal="center"/>
    </xf>
    <xf numFmtId="43" fontId="0" fillId="0" borderId="0" xfId="1" applyFont="1"/>
    <xf numFmtId="9" fontId="22" fillId="15" borderId="0" xfId="4" applyFont="1" applyFill="1" applyBorder="1" applyAlignment="1">
      <alignment horizontal="center" vertical="center"/>
    </xf>
    <xf numFmtId="168" fontId="22" fillId="11" borderId="0" xfId="4" applyNumberFormat="1" applyFont="1" applyFill="1" applyBorder="1" applyAlignment="1">
      <alignment horizontal="center" vertical="center"/>
    </xf>
    <xf numFmtId="167" fontId="0" fillId="0" borderId="0" xfId="0" applyAlignment="1">
      <alignment vertical="center" wrapText="1"/>
    </xf>
    <xf numFmtId="167" fontId="41" fillId="0" borderId="0" xfId="0" applyFont="1" applyAlignment="1">
      <alignment horizontal="center" vertical="center" wrapText="1" readingOrder="1"/>
    </xf>
    <xf numFmtId="167" fontId="0" fillId="0" borderId="0" xfId="0"/>
    <xf numFmtId="167" fontId="9" fillId="5" borderId="10" xfId="0" applyFont="1" applyFill="1" applyBorder="1" applyAlignment="1">
      <alignment horizontal="center" vertical="center" wrapText="1"/>
    </xf>
    <xf numFmtId="167" fontId="9" fillId="5" borderId="11" xfId="0" applyFont="1" applyFill="1" applyBorder="1" applyAlignment="1">
      <alignment horizontal="center" vertical="center" wrapText="1"/>
    </xf>
    <xf numFmtId="167" fontId="33" fillId="4" borderId="0" xfId="6" applyFont="1" applyFill="1" applyBorder="1" applyAlignment="1">
      <alignment horizontal="left"/>
    </xf>
    <xf numFmtId="167" fontId="8" fillId="4" borderId="0" xfId="0" applyFont="1" applyFill="1" applyAlignment="1">
      <alignment horizontal="left"/>
    </xf>
    <xf numFmtId="167" fontId="9" fillId="5" borderId="2" xfId="0" applyFont="1" applyFill="1" applyBorder="1" applyAlignment="1">
      <alignment horizontal="center" vertical="center" wrapText="1"/>
    </xf>
    <xf numFmtId="167" fontId="9" fillId="5" borderId="9" xfId="0" applyFont="1" applyFill="1" applyBorder="1" applyAlignment="1">
      <alignment horizontal="center" vertical="center" wrapText="1"/>
    </xf>
    <xf numFmtId="167" fontId="11" fillId="10" borderId="0" xfId="0" applyFont="1" applyFill="1" applyAlignment="1">
      <alignment horizontal="center" vertical="center"/>
    </xf>
    <xf numFmtId="167" fontId="6" fillId="13" borderId="0" xfId="0" applyFont="1" applyFill="1" applyAlignment="1">
      <alignment horizontal="left" vertical="center" wrapText="1"/>
    </xf>
    <xf numFmtId="167" fontId="9" fillId="5" borderId="10" xfId="0" applyFont="1" applyFill="1" applyBorder="1" applyAlignment="1">
      <alignment horizontal="center" wrapText="1"/>
    </xf>
    <xf numFmtId="167" fontId="9" fillId="5" borderId="9" xfId="0" applyFont="1" applyFill="1" applyBorder="1" applyAlignment="1">
      <alignment horizontal="center" wrapText="1"/>
    </xf>
    <xf numFmtId="167" fontId="9" fillId="5" borderId="2" xfId="0" applyFont="1" applyFill="1" applyBorder="1" applyAlignment="1">
      <alignment horizontal="center" wrapText="1"/>
    </xf>
    <xf numFmtId="167" fontId="11" fillId="12" borderId="0" xfId="0" applyFont="1" applyFill="1" applyAlignment="1">
      <alignment horizontal="left" vertical="center" wrapText="1"/>
    </xf>
    <xf numFmtId="167" fontId="11" fillId="6" borderId="42" xfId="0" applyFont="1" applyFill="1" applyBorder="1" applyAlignment="1">
      <alignment horizontal="center" vertical="center"/>
    </xf>
    <xf numFmtId="167" fontId="11" fillId="6" borderId="43" xfId="0" applyFont="1" applyFill="1" applyBorder="1" applyAlignment="1">
      <alignment horizontal="center" vertical="center"/>
    </xf>
    <xf numFmtId="167" fontId="11" fillId="6" borderId="29" xfId="0" applyFont="1" applyFill="1" applyBorder="1" applyAlignment="1">
      <alignment horizontal="center" vertical="center"/>
    </xf>
    <xf numFmtId="165" fontId="30" fillId="4" borderId="40" xfId="1" applyNumberFormat="1" applyFont="1" applyFill="1" applyBorder="1" applyAlignment="1">
      <alignment horizontal="center" vertical="center"/>
    </xf>
    <xf numFmtId="165" fontId="30" fillId="4" borderId="41" xfId="1" applyNumberFormat="1" applyFont="1" applyFill="1" applyBorder="1" applyAlignment="1">
      <alignment horizontal="center" vertical="center"/>
    </xf>
    <xf numFmtId="165" fontId="30" fillId="4" borderId="5" xfId="1" applyNumberFormat="1" applyFont="1" applyFill="1" applyBorder="1" applyAlignment="1">
      <alignment horizontal="center" vertical="center"/>
    </xf>
    <xf numFmtId="167" fontId="11" fillId="6" borderId="38" xfId="0" applyFont="1" applyFill="1" applyBorder="1" applyAlignment="1">
      <alignment horizontal="center" vertical="center"/>
    </xf>
    <xf numFmtId="167" fontId="11" fillId="6" borderId="39" xfId="0" applyFont="1" applyFill="1" applyBorder="1" applyAlignment="1">
      <alignment horizontal="center" vertical="center"/>
    </xf>
    <xf numFmtId="167" fontId="11" fillId="6" borderId="6" xfId="0" applyFont="1" applyFill="1" applyBorder="1" applyAlignment="1">
      <alignment horizontal="center" vertical="center"/>
    </xf>
    <xf numFmtId="167" fontId="11" fillId="9" borderId="0" xfId="0" applyFont="1" applyFill="1" applyAlignment="1">
      <alignment horizontal="center" vertical="center" wrapText="1"/>
    </xf>
    <xf numFmtId="167" fontId="11" fillId="9" borderId="0" xfId="0" applyFont="1" applyFill="1" applyAlignment="1">
      <alignment horizontal="center" vertical="center"/>
    </xf>
    <xf numFmtId="167" fontId="11" fillId="14" borderId="0" xfId="0" applyFont="1" applyFill="1" applyAlignment="1">
      <alignment horizontal="left" vertical="center" wrapText="1"/>
    </xf>
    <xf numFmtId="167" fontId="11" fillId="15" borderId="48" xfId="0" applyFont="1" applyFill="1" applyBorder="1" applyAlignment="1">
      <alignment horizontal="left" vertical="center" wrapText="1"/>
    </xf>
    <xf numFmtId="167" fontId="11" fillId="15" borderId="0" xfId="0" applyFont="1" applyFill="1" applyAlignment="1">
      <alignment horizontal="left" vertical="center" wrapText="1"/>
    </xf>
    <xf numFmtId="167" fontId="5" fillId="4" borderId="0" xfId="6" applyFill="1" applyBorder="1" applyAlignment="1">
      <alignment horizontal="left"/>
    </xf>
  </cellXfs>
  <cellStyles count="9">
    <cellStyle name="Hipervínculo" xfId="8" builtinId="8"/>
    <cellStyle name="Millares" xfId="1" builtinId="3"/>
    <cellStyle name="Moneda" xfId="2" builtinId="4"/>
    <cellStyle name="Normal" xfId="0" builtinId="0"/>
    <cellStyle name="Notas" xfId="3" builtinId="10"/>
    <cellStyle name="Porcentaje" xfId="4" builtinId="5"/>
    <cellStyle name="Título" xfId="5" builtinId="15"/>
    <cellStyle name="Título 2" xfId="6" builtinId="17"/>
    <cellStyle name="Total" xfId="7" builtinId="25"/>
  </cellStyles>
  <dxfs count="12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Emisiones CO</a:t>
            </a:r>
            <a:r>
              <a:rPr lang="es-ES" sz="1400" b="1" i="0" baseline="-25000">
                <a:solidFill>
                  <a:sysClr val="windowText" lastClr="000000"/>
                </a:solidFill>
                <a:effectLst/>
              </a:rPr>
              <a:t>2</a:t>
            </a: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 por m</a:t>
            </a:r>
            <a:r>
              <a:rPr lang="es-ES" sz="1400" b="1" i="0" baseline="30000">
                <a:solidFill>
                  <a:sysClr val="windowText" lastClr="000000"/>
                </a:solidFill>
                <a:effectLst/>
              </a:rPr>
              <a:t>2</a:t>
            </a:r>
            <a:r>
              <a:rPr lang="es-ES" sz="1400" b="0" i="0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indirectas (Electricidad) y directas (combustibles)</a:t>
            </a:r>
            <a:endParaRPr lang="es-ES" sz="1400" b="1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490487057858279E-2"/>
          <c:y val="0.13861896126826978"/>
          <c:w val="0.85696852385105882"/>
          <c:h val="0.520363774146089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'8b15'!$A$4:$B$4</c:f>
              <c:strCache>
                <c:ptCount val="2"/>
                <c:pt idx="0">
                  <c:v>Emisiones anuales de CO2 por m2 construido (t CO2 eq/m2)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809-4133-BC53-816A395C4307}"/>
                </c:ext>
              </c:extLst>
            </c:dLbl>
            <c:dLbl>
              <c:idx val="4"/>
              <c:layout>
                <c:manualLayout>
                  <c:x val="-2.0232675771370764E-3"/>
                  <c:y val="1.85442717474661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09-4133-BC53-816A395C4307}"/>
                </c:ext>
              </c:extLst>
            </c:dLbl>
            <c:dLbl>
              <c:idx val="5"/>
              <c:layout>
                <c:manualLayout>
                  <c:x val="0"/>
                  <c:y val="1.1126563048479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809-4133-BC53-816A395C43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'8b15'!$E$3:$J$3</c:f>
              <c:numCache>
                <c:formatCode>@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'8b15'!$E$4:$J$4</c:f>
              <c:numCache>
                <c:formatCode>0.000</c:formatCode>
                <c:ptCount val="6"/>
                <c:pt idx="0">
                  <c:v>2.5345059344761785E-2</c:v>
                </c:pt>
                <c:pt idx="1">
                  <c:v>2.5317666883902804E-2</c:v>
                </c:pt>
                <c:pt idx="2">
                  <c:v>2.2482003494567668E-2</c:v>
                </c:pt>
                <c:pt idx="3">
                  <c:v>2.3617868142374127E-2</c:v>
                </c:pt>
                <c:pt idx="4">
                  <c:v>2.3900000000000001E-2</c:v>
                </c:pt>
                <c:pt idx="5">
                  <c:v>2.1399999999999999E-2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3-4D2A-ACEF-3AFAF230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16181152"/>
        <c:axId val="516183896"/>
      </c:barChart>
      <c:lineChart>
        <c:grouping val="standard"/>
        <c:varyColors val="0"/>
        <c:ser>
          <c:idx val="1"/>
          <c:order val="1"/>
          <c:tx>
            <c:strRef>
              <c:f>'8b15'!$A$5:$B$5</c:f>
              <c:strCache>
                <c:ptCount val="2"/>
                <c:pt idx="0">
                  <c:v>Promedio del período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squar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3-B809-4133-BC53-816A395C4307}"/>
              </c:ext>
            </c:extLst>
          </c:dPt>
          <c:dPt>
            <c:idx val="5"/>
            <c:marker>
              <c:symbol val="squar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4-B809-4133-BC53-816A395C4307}"/>
              </c:ext>
            </c:extLst>
          </c:dPt>
          <c:cat>
            <c:numRef>
              <c:f>'8b15'!$E$3:$J$3</c:f>
              <c:numCache>
                <c:formatCode>@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'8b15'!$E$5:$J$5</c:f>
              <c:numCache>
                <c:formatCode>0.000</c:formatCode>
                <c:ptCount val="6"/>
                <c:pt idx="0">
                  <c:v>2.4571276525401923E-2</c:v>
                </c:pt>
                <c:pt idx="1">
                  <c:v>2.4571276525401923E-2</c:v>
                </c:pt>
                <c:pt idx="2">
                  <c:v>2.4571276525401923E-2</c:v>
                </c:pt>
                <c:pt idx="3">
                  <c:v>2.4498515369823528E-2</c:v>
                </c:pt>
                <c:pt idx="4">
                  <c:v>2.4413013174134451E-2</c:v>
                </c:pt>
                <c:pt idx="5">
                  <c:v>2.4036386527367646E-2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3-4D2A-ACEF-3AFAF230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81152"/>
        <c:axId val="516183896"/>
      </c:lineChart>
      <c:lineChart>
        <c:grouping val="standard"/>
        <c:varyColors val="0"/>
        <c:ser>
          <c:idx val="2"/>
          <c:order val="2"/>
          <c:tx>
            <c:strRef>
              <c:f>'8b15'!$A$6:$B$6</c:f>
              <c:strCache>
                <c:ptCount val="2"/>
                <c:pt idx="0">
                  <c:v>Emisiones anuales de CO2  (t CO2 eq)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6">
                  <a:lumMod val="5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'8b15'!$E$3:$J$3</c:f>
              <c:numCache>
                <c:formatCode>@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'8b15'!$E$6:$J$6</c:f>
              <c:numCache>
                <c:formatCode>_-* #,##0\ _€_-;\-* #,##0\ _€_-;_-* "-"??\ _€_-;_-@_-</c:formatCode>
                <c:ptCount val="6"/>
                <c:pt idx="0">
                  <c:v>4108.4436350121596</c:v>
                </c:pt>
                <c:pt idx="1">
                  <c:v>4112.8887674163207</c:v>
                </c:pt>
                <c:pt idx="2">
                  <c:v>3990.0101693614993</c:v>
                </c:pt>
                <c:pt idx="3">
                  <c:v>4014.8192876857602</c:v>
                </c:pt>
                <c:pt idx="4">
                  <c:v>4621.55</c:v>
                </c:pt>
                <c:pt idx="5">
                  <c:v>4429.5200000000004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E2-4C9D-A7F4-0D3D4F384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285040"/>
        <c:axId val="515285432"/>
      </c:lineChart>
      <c:catAx>
        <c:axId val="5161811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6183896"/>
        <c:crosses val="autoZero"/>
        <c:auto val="1"/>
        <c:lblAlgn val="ctr"/>
        <c:lblOffset val="100"/>
        <c:noMultiLvlLbl val="0"/>
      </c:catAx>
      <c:valAx>
        <c:axId val="516183896"/>
        <c:scaling>
          <c:orientation val="minMax"/>
          <c:max val="2.7000000000000007E-2"/>
          <c:min val="2.1000000000000005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6181152"/>
        <c:crosses val="autoZero"/>
        <c:crossBetween val="between"/>
      </c:valAx>
      <c:valAx>
        <c:axId val="515285432"/>
        <c:scaling>
          <c:orientation val="minMax"/>
          <c:max val="5000"/>
          <c:min val="35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5285040"/>
        <c:crosses val="max"/>
        <c:crossBetween val="between"/>
      </c:valAx>
      <c:catAx>
        <c:axId val="51528504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515285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88105755073298E-2"/>
          <c:y val="0.70507643114766572"/>
          <c:w val="0.59643124275626391"/>
          <c:h val="0.28063506035616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/>
              <a:t>Emisiones </a:t>
            </a:r>
            <a:r>
              <a:rPr lang="es-ES" sz="1400" b="1" i="0" u="none" strike="noStrike" baseline="0">
                <a:effectLst/>
              </a:rPr>
              <a:t>CO</a:t>
            </a:r>
            <a:r>
              <a:rPr lang="es-ES" sz="1400" b="1" i="0" u="none" strike="noStrike" baseline="-25000">
                <a:effectLst/>
              </a:rPr>
              <a:t>2</a:t>
            </a:r>
            <a:r>
              <a:rPr lang="es-ES" sz="1400" b="1"/>
              <a:t> por trabajador</a:t>
            </a:r>
            <a:r>
              <a:rPr lang="es-ES" sz="1400"/>
              <a:t> indirectas</a:t>
            </a:r>
            <a:r>
              <a:rPr lang="es-ES" sz="1400" baseline="0"/>
              <a:t> (Electricidad) y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aseline="0"/>
              <a:t>directas (combustibles)</a:t>
            </a:r>
            <a:endParaRPr lang="es-ES" sz="14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505143799361954"/>
          <c:y val="0.20836343735452972"/>
          <c:w val="0.75403438758319097"/>
          <c:h val="0.56275177681441502"/>
        </c:manualLayout>
      </c:layout>
      <c:areaChart>
        <c:grouping val="standard"/>
        <c:varyColors val="0"/>
        <c:ser>
          <c:idx val="2"/>
          <c:order val="1"/>
          <c:tx>
            <c:strRef>
              <c:f>'8b15'!$A$47:$B$47</c:f>
              <c:strCache>
                <c:ptCount val="2"/>
                <c:pt idx="0">
                  <c:v>Trabajadores del período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'8b15'!$E$45:$J$45</c:f>
              <c:numCache>
                <c:formatCode>@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'8b15'!$E$47:$J$47</c:f>
              <c:numCache>
                <c:formatCode>_-* #,##0\ _€_-;\-* #,##0\ _€_-;_-* "-"??\ _€_-;_-@_-</c:formatCode>
                <c:ptCount val="6"/>
                <c:pt idx="0">
                  <c:v>1451</c:v>
                </c:pt>
                <c:pt idx="1">
                  <c:v>1462</c:v>
                </c:pt>
                <c:pt idx="2">
                  <c:v>1488</c:v>
                </c:pt>
                <c:pt idx="3">
                  <c:v>1472</c:v>
                </c:pt>
                <c:pt idx="4">
                  <c:v>1563</c:v>
                </c:pt>
                <c:pt idx="5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0D-4C2D-AF62-E088A1D21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286608"/>
        <c:axId val="515283472"/>
      </c:areaChart>
      <c:barChart>
        <c:barDir val="col"/>
        <c:grouping val="clustered"/>
        <c:varyColors val="0"/>
        <c:ser>
          <c:idx val="0"/>
          <c:order val="0"/>
          <c:tx>
            <c:strRef>
              <c:f>'8b15'!$A$46:$B$46</c:f>
              <c:strCache>
                <c:ptCount val="2"/>
                <c:pt idx="0">
                  <c:v>Emisiones anuales de CO2 por trabajador (t CO2 eq)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'8b15'!$E$45:$J$45</c:f>
              <c:numCache>
                <c:formatCode>@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'8b15'!$E$46:$J$46</c:f>
              <c:numCache>
                <c:formatCode>0.00</c:formatCode>
                <c:ptCount val="6"/>
                <c:pt idx="0">
                  <c:v>2.8345201705143492</c:v>
                </c:pt>
                <c:pt idx="1">
                  <c:v>2.8101529651245962</c:v>
                </c:pt>
                <c:pt idx="2">
                  <c:v>2.9096148487176214</c:v>
                </c:pt>
                <c:pt idx="3">
                  <c:v>3.089673913043478</c:v>
                </c:pt>
                <c:pt idx="4">
                  <c:v>2.9571337172104926</c:v>
                </c:pt>
                <c:pt idx="5">
                  <c:v>2.8342930262316059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D-4C2D-AF62-E088A1D21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284256"/>
        <c:axId val="515286216"/>
      </c:barChart>
      <c:catAx>
        <c:axId val="51528425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5286216"/>
        <c:crosses val="autoZero"/>
        <c:auto val="1"/>
        <c:lblAlgn val="ctr"/>
        <c:lblOffset val="100"/>
        <c:noMultiLvlLbl val="0"/>
      </c:catAx>
      <c:valAx>
        <c:axId val="51528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400" b="1"/>
                  <a:t>t CO2 eq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5284256"/>
        <c:crosses val="autoZero"/>
        <c:crossBetween val="between"/>
      </c:valAx>
      <c:valAx>
        <c:axId val="5152834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Nº de trabajadores</a:t>
                </a:r>
              </a:p>
            </c:rich>
          </c:tx>
          <c:layout/>
          <c:overlay val="0"/>
        </c:title>
        <c:numFmt formatCode="_-* #,##0\ _€_-;\-* #,##0\ _€_-;_-* &quot;-&quot;??\ _€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5286608"/>
        <c:crosses val="max"/>
        <c:crossBetween val="between"/>
      </c:valAx>
      <c:catAx>
        <c:axId val="515286608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515283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5.000003982810191E-2"/>
          <c:y val="0.8422094429207585"/>
          <c:w val="0.84693198950131232"/>
          <c:h val="0.135537467928868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/>
              <a:t>Emisiones </a:t>
            </a:r>
            <a:r>
              <a:rPr lang="es-ES" sz="1400" b="1" i="0" u="none" strike="noStrike" baseline="0">
                <a:effectLst/>
              </a:rPr>
              <a:t>CO</a:t>
            </a:r>
            <a:r>
              <a:rPr lang="es-ES" sz="1400" b="1" i="0" u="none" strike="noStrike" baseline="-25000">
                <a:effectLst/>
              </a:rPr>
              <a:t>2</a:t>
            </a:r>
            <a:r>
              <a:rPr lang="es-ES" sz="1400" b="1"/>
              <a:t> por usuario </a:t>
            </a:r>
            <a:r>
              <a:rPr lang="es-ES" sz="1400"/>
              <a:t>indirectas</a:t>
            </a:r>
            <a:r>
              <a:rPr lang="es-ES" sz="1400" baseline="0"/>
              <a:t> (Electricidad) y directas (combustibles)</a:t>
            </a:r>
            <a:endParaRPr lang="es-ES" sz="14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505143799361954"/>
          <c:y val="0.20836343735452972"/>
          <c:w val="0.75403438758319097"/>
          <c:h val="0.56275177681441502"/>
        </c:manualLayout>
      </c:layout>
      <c:areaChart>
        <c:grouping val="standard"/>
        <c:varyColors val="0"/>
        <c:ser>
          <c:idx val="2"/>
          <c:order val="1"/>
          <c:tx>
            <c:strRef>
              <c:f>'8b15'!$A$78:$B$78</c:f>
              <c:strCache>
                <c:ptCount val="2"/>
                <c:pt idx="0">
                  <c:v>Usuarios del período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'8b15'!$E$76:$J$76</c:f>
              <c:numCache>
                <c:formatCode>@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'8b15'!$E$78:$J$78</c:f>
              <c:numCache>
                <c:formatCode>_-* #,##0\ _€_-;\-* #,##0\ _€_-;_-* "-"??\ _€_-;_-@_-</c:formatCode>
                <c:ptCount val="6"/>
                <c:pt idx="0">
                  <c:v>17548</c:v>
                </c:pt>
                <c:pt idx="1">
                  <c:v>16913</c:v>
                </c:pt>
                <c:pt idx="2">
                  <c:v>16198</c:v>
                </c:pt>
                <c:pt idx="3">
                  <c:v>16232</c:v>
                </c:pt>
                <c:pt idx="4">
                  <c:v>17215</c:v>
                </c:pt>
                <c:pt idx="5">
                  <c:v>16948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0D-4C2D-AF62-E088A1D21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329440"/>
        <c:axId val="520330224"/>
      </c:areaChart>
      <c:barChart>
        <c:barDir val="col"/>
        <c:grouping val="clustered"/>
        <c:varyColors val="0"/>
        <c:ser>
          <c:idx val="0"/>
          <c:order val="0"/>
          <c:tx>
            <c:strRef>
              <c:f>'8b15'!$A$77:$B$77</c:f>
              <c:strCache>
                <c:ptCount val="2"/>
                <c:pt idx="0">
                  <c:v>Emisiones anuales de CO2 por usuario (trabajadores+estudiantes) (t CO2 eq)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'8b15'!$E$76:$J$76</c:f>
              <c:numCache>
                <c:formatCode>@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'8b15'!$E$77:$J$77</c:f>
              <c:numCache>
                <c:formatCode>0.00</c:formatCode>
                <c:ptCount val="6"/>
                <c:pt idx="0">
                  <c:v>0.23438568497834511</c:v>
                </c:pt>
                <c:pt idx="1">
                  <c:v>0.24289008455034589</c:v>
                </c:pt>
                <c:pt idx="2">
                  <c:v>0.26731695271021116</c:v>
                </c:pt>
                <c:pt idx="3">
                  <c:v>0.28018728437654017</c:v>
                </c:pt>
                <c:pt idx="4">
                  <c:v>0.26848678478071447</c:v>
                </c:pt>
                <c:pt idx="5">
                  <c:v>0.26138777436865707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D-4C2D-AF62-E088A1D21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287000"/>
        <c:axId val="520327480"/>
      </c:barChart>
      <c:catAx>
        <c:axId val="5152870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327480"/>
        <c:crosses val="autoZero"/>
        <c:auto val="1"/>
        <c:lblAlgn val="ctr"/>
        <c:lblOffset val="100"/>
        <c:noMultiLvlLbl val="0"/>
      </c:catAx>
      <c:valAx>
        <c:axId val="52032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400" b="1"/>
                  <a:t>t CO2 eq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5287000"/>
        <c:crosses val="autoZero"/>
        <c:crossBetween val="between"/>
      </c:valAx>
      <c:valAx>
        <c:axId val="5203302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Nº de Usuarios </a:t>
                </a:r>
              </a:p>
            </c:rich>
          </c:tx>
          <c:layout/>
          <c:overlay val="0"/>
        </c:title>
        <c:numFmt formatCode="_-* #,##0\ _€_-;\-* #,##0\ _€_-;_-* &quot;-&quot;??\ _€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329440"/>
        <c:crosses val="max"/>
        <c:crossBetween val="between"/>
      </c:valAx>
      <c:catAx>
        <c:axId val="52032944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52033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5.000003982810191E-2"/>
          <c:y val="0.8422094429207585"/>
          <c:w val="0.84693198950131232"/>
          <c:h val="0.135537467928868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Universidad de Jaén - Emisiones CO</a:t>
            </a:r>
            <a:r>
              <a:rPr lang="es-ES" sz="1800" b="1" i="0" baseline="-25000">
                <a:effectLst/>
              </a:rPr>
              <a:t>2</a:t>
            </a:r>
            <a:r>
              <a:rPr lang="es-ES" sz="1800" b="1" i="0" baseline="0">
                <a:effectLst/>
              </a:rPr>
              <a:t> por m</a:t>
            </a:r>
            <a:r>
              <a:rPr lang="es-ES" sz="1800" b="1" i="0" baseline="30000">
                <a:effectLst/>
              </a:rPr>
              <a:t>2</a:t>
            </a:r>
            <a:r>
              <a:rPr lang="es-ES" sz="1800" b="0" i="0" baseline="0">
                <a:effectLst/>
              </a:rPr>
              <a:t> indirectas (Electricidad) y directas (combustibles)</a:t>
            </a:r>
            <a:endParaRPr lang="es-ES" sz="2400">
              <a:effectLst/>
            </a:endParaRPr>
          </a:p>
        </c:rich>
      </c:tx>
      <c:layout>
        <c:manualLayout>
          <c:xMode val="edge"/>
          <c:yMode val="edge"/>
          <c:x val="0.14905898024008263"/>
          <c:y val="2.2253126096959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Tendencias!$B$3</c:f>
              <c:strCache>
                <c:ptCount val="1"/>
                <c:pt idx="0">
                  <c:v>Emisiones anuales de CO2 por m2 construido (t CO2 eq/m2)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Tendencias!$C$2:$H$2</c:f>
              <c:numCache>
                <c:formatCode>@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cat>
          <c:val>
            <c:numRef>
              <c:f>Tendencias!$C$3:$H$3</c:f>
              <c:numCache>
                <c:formatCode>0.000</c:formatCode>
                <c:ptCount val="6"/>
                <c:pt idx="0">
                  <c:v>2.3617868142374127E-2</c:v>
                </c:pt>
                <c:pt idx="1">
                  <c:v>2.2482003494567668E-2</c:v>
                </c:pt>
                <c:pt idx="2">
                  <c:v>2.5317666883902804E-2</c:v>
                </c:pt>
                <c:pt idx="3">
                  <c:v>2.5345059344761785E-2</c:v>
                </c:pt>
                <c:pt idx="4">
                  <c:v>2.4587838438479653E-2</c:v>
                </c:pt>
                <c:pt idx="5">
                  <c:v>2.5640655914855141E-2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3-4D2A-ACEF-3AFAF230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328264"/>
        <c:axId val="520329048"/>
      </c:barChart>
      <c:lineChart>
        <c:grouping val="standard"/>
        <c:varyColors val="0"/>
        <c:ser>
          <c:idx val="1"/>
          <c:order val="1"/>
          <c:tx>
            <c:strRef>
              <c:f>Tendencias!$B$4</c:f>
              <c:strCache>
                <c:ptCount val="1"/>
                <c:pt idx="0">
                  <c:v>Promedio del período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Tendencias!$C$2:$H$2</c:f>
              <c:numCache>
                <c:formatCode>@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cat>
          <c:val>
            <c:numRef>
              <c:f>Tendencias!$C$4:$H$4</c:f>
              <c:numCache>
                <c:formatCode>0.000</c:formatCode>
                <c:ptCount val="6"/>
                <c:pt idx="0">
                  <c:v>2.4498515369823528E-2</c:v>
                </c:pt>
                <c:pt idx="1">
                  <c:v>2.4571276525401923E-2</c:v>
                </c:pt>
                <c:pt idx="2">
                  <c:v>2.4571276525401923E-2</c:v>
                </c:pt>
                <c:pt idx="3">
                  <c:v>2.4571276525401923E-2</c:v>
                </c:pt>
                <c:pt idx="4">
                  <c:v>2.4571276525401923E-2</c:v>
                </c:pt>
                <c:pt idx="5">
                  <c:v>2.4571276525401923E-2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3-4D2A-ACEF-3AFAF230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328264"/>
        <c:axId val="520329048"/>
      </c:lineChart>
      <c:lineChart>
        <c:grouping val="standard"/>
        <c:varyColors val="0"/>
        <c:ser>
          <c:idx val="2"/>
          <c:order val="2"/>
          <c:tx>
            <c:strRef>
              <c:f>Tendencias!$B$6</c:f>
              <c:strCache>
                <c:ptCount val="1"/>
                <c:pt idx="0">
                  <c:v>Emisiones anuales de CO2  (t CO2 eq)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Tendencias!$C$2:$H$2</c:f>
              <c:numCache>
                <c:formatCode>@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cat>
          <c:val>
            <c:numRef>
              <c:f>Tendencias!$C$6:$H$6</c:f>
              <c:numCache>
                <c:formatCode>_-* #,##0\ _€_-;\-* #,##0\ _€_-;_-* "-"??\ _€_-;_-@_-</c:formatCode>
                <c:ptCount val="6"/>
                <c:pt idx="0">
                  <c:v>4548.2478013919999</c:v>
                </c:pt>
                <c:pt idx="1">
                  <c:v>4329.5068948918206</c:v>
                </c:pt>
                <c:pt idx="2">
                  <c:v>4108.4436350121596</c:v>
                </c:pt>
                <c:pt idx="3">
                  <c:v>4112.8887674163207</c:v>
                </c:pt>
                <c:pt idx="4">
                  <c:v>3990.0101693614993</c:v>
                </c:pt>
                <c:pt idx="5">
                  <c:v>4014.8192876857602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E2-4C9D-A7F4-0D3D4F384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328656"/>
        <c:axId val="520327088"/>
      </c:lineChart>
      <c:catAx>
        <c:axId val="5203282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329048"/>
        <c:crosses val="autoZero"/>
        <c:auto val="1"/>
        <c:lblAlgn val="ctr"/>
        <c:lblOffset val="100"/>
        <c:noMultiLvlLbl val="0"/>
      </c:catAx>
      <c:valAx>
        <c:axId val="52032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400" b="1"/>
                  <a:t>t CO2 eq/m2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328264"/>
        <c:crosses val="autoZero"/>
        <c:crossBetween val="between"/>
      </c:valAx>
      <c:valAx>
        <c:axId val="520327088"/>
        <c:scaling>
          <c:orientation val="minMax"/>
          <c:min val="34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328656"/>
        <c:crosses val="max"/>
        <c:crossBetween val="between"/>
      </c:valAx>
      <c:catAx>
        <c:axId val="52032865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520327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/>
              <a:t>Universidad de Jaén - Emisiones </a:t>
            </a:r>
            <a:r>
              <a:rPr lang="es-ES" sz="1800" b="1" i="0" u="none" strike="noStrike" baseline="0">
                <a:effectLst/>
              </a:rPr>
              <a:t>CO</a:t>
            </a:r>
            <a:r>
              <a:rPr lang="es-ES" sz="1800" b="1" i="0" u="none" strike="noStrike" baseline="-25000">
                <a:effectLst/>
              </a:rPr>
              <a:t>2</a:t>
            </a:r>
            <a:r>
              <a:rPr lang="es-ES" sz="1800" b="1" i="0" u="none" strike="noStrike" baseline="0">
                <a:effectLst/>
              </a:rPr>
              <a:t> </a:t>
            </a:r>
            <a:r>
              <a:rPr lang="es-ES" sz="1800" b="1"/>
              <a:t> por trabajador</a:t>
            </a:r>
            <a:r>
              <a:rPr lang="es-ES" sz="1600"/>
              <a:t> </a:t>
            </a:r>
            <a:r>
              <a:rPr lang="es-ES" sz="1100"/>
              <a:t>indirectas</a:t>
            </a:r>
            <a:r>
              <a:rPr lang="es-ES" baseline="0"/>
              <a:t> </a:t>
            </a:r>
            <a:r>
              <a:rPr lang="es-ES" sz="1100" baseline="0"/>
              <a:t>(Electricidad) y directas (combustibles)</a:t>
            </a:r>
            <a:endParaRPr lang="es-E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ndard"/>
        <c:varyColors val="0"/>
        <c:ser>
          <c:idx val="2"/>
          <c:order val="1"/>
          <c:tx>
            <c:strRef>
              <c:f>Tendencias!$B$32</c:f>
              <c:strCache>
                <c:ptCount val="1"/>
                <c:pt idx="0">
                  <c:v>Trabajadores del período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Tendencias!$C$28:$H$28</c:f>
              <c:numCache>
                <c:formatCode>_-* #,##0.00\ [$€-C0A]_-;\-* #,##0.00\ [$€-C0A]_-;_-* "-"??\ [$€-C0A]_-;_-@_-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cat>
          <c:val>
            <c:numRef>
              <c:f>Tendencias!$C$32:$H$32</c:f>
              <c:numCache>
                <c:formatCode>_-* #,##0\ _€_-;\-* #,##0\ _€_-;_-* "-"??\ _€_-;_-@_-</c:formatCode>
                <c:ptCount val="6"/>
                <c:pt idx="0">
                  <c:v>1472</c:v>
                </c:pt>
                <c:pt idx="1">
                  <c:v>1488</c:v>
                </c:pt>
                <c:pt idx="2">
                  <c:v>1462</c:v>
                </c:pt>
                <c:pt idx="3">
                  <c:v>1451</c:v>
                </c:pt>
                <c:pt idx="4">
                  <c:v>1482</c:v>
                </c:pt>
                <c:pt idx="5">
                  <c:v>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0D-4C2D-AF62-E088A1D21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140944"/>
        <c:axId val="563140552"/>
      </c:areaChart>
      <c:barChart>
        <c:barDir val="col"/>
        <c:grouping val="clustered"/>
        <c:varyColors val="0"/>
        <c:ser>
          <c:idx val="0"/>
          <c:order val="0"/>
          <c:tx>
            <c:strRef>
              <c:f>Tendencias!$B$29</c:f>
              <c:strCache>
                <c:ptCount val="1"/>
                <c:pt idx="0">
                  <c:v>Emisiones anuales de CO2 por trabajador (t CO2 eq)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Tendencias!$C$2:$H$2</c:f>
              <c:numCache>
                <c:formatCode>@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cat>
          <c:val>
            <c:numRef>
              <c:f>Tendencias!$C$29:$I$29</c:f>
              <c:numCache>
                <c:formatCode>0.00</c:formatCode>
                <c:ptCount val="7"/>
                <c:pt idx="0">
                  <c:v>3.0898422563804346</c:v>
                </c:pt>
                <c:pt idx="1">
                  <c:v>2.9096148487176214</c:v>
                </c:pt>
                <c:pt idx="2">
                  <c:v>2.8101529651245962</c:v>
                </c:pt>
                <c:pt idx="3">
                  <c:v>2.8345201705143492</c:v>
                </c:pt>
                <c:pt idx="4">
                  <c:v>2.6923145542250331</c:v>
                </c:pt>
                <c:pt idx="5">
                  <c:v>2.4998874767657284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D-4C2D-AF62-E088A1D21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139376"/>
        <c:axId val="563140160"/>
      </c:barChart>
      <c:catAx>
        <c:axId val="56313937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140160"/>
        <c:crosses val="autoZero"/>
        <c:auto val="1"/>
        <c:lblAlgn val="ctr"/>
        <c:lblOffset val="100"/>
        <c:noMultiLvlLbl val="0"/>
      </c:catAx>
      <c:valAx>
        <c:axId val="56314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400" b="1"/>
                  <a:t>t CO2 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139376"/>
        <c:crosses val="autoZero"/>
        <c:crossBetween val="between"/>
      </c:valAx>
      <c:valAx>
        <c:axId val="563140552"/>
        <c:scaling>
          <c:orientation val="minMax"/>
        </c:scaling>
        <c:delete val="0"/>
        <c:axPos val="r"/>
        <c:numFmt formatCode="_-* #,##0\ _€_-;\-* #,##0\ _€_-;_-* &quot;-&quot;??\ _€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140944"/>
        <c:crosses val="max"/>
        <c:crossBetween val="between"/>
      </c:valAx>
      <c:catAx>
        <c:axId val="563140944"/>
        <c:scaling>
          <c:orientation val="minMax"/>
        </c:scaling>
        <c:delete val="1"/>
        <c:axPos val="b"/>
        <c:numFmt formatCode="_-* #,##0.00\ [$€-C0A]_-;\-* #,##0.00\ [$€-C0A]_-;_-* &quot;-&quot;??\ [$€-C0A]_-;_-@_-" sourceLinked="1"/>
        <c:majorTickMark val="out"/>
        <c:minorTickMark val="none"/>
        <c:tickLblPos val="nextTo"/>
        <c:crossAx val="563140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/>
              <a:t>Universidad de Jaén - Emisiones </a:t>
            </a:r>
            <a:r>
              <a:rPr lang="es-ES" sz="1800" b="1" i="0" u="none" strike="noStrike" baseline="0">
                <a:effectLst/>
              </a:rPr>
              <a:t>CO</a:t>
            </a:r>
            <a:r>
              <a:rPr lang="es-ES" sz="1800" b="1" i="0" u="none" strike="noStrike" baseline="-25000">
                <a:effectLst/>
              </a:rPr>
              <a:t>2</a:t>
            </a:r>
            <a:r>
              <a:rPr lang="es-ES" sz="1400" b="1" i="0" u="none" strike="noStrike" baseline="0">
                <a:effectLst/>
              </a:rPr>
              <a:t> </a:t>
            </a:r>
            <a:r>
              <a:rPr lang="es-ES" sz="1800" b="1"/>
              <a:t> por usuario</a:t>
            </a:r>
            <a:r>
              <a:rPr lang="es-ES" sz="1600"/>
              <a:t> </a:t>
            </a:r>
            <a:r>
              <a:rPr lang="es-ES" sz="1100"/>
              <a:t>indirectas</a:t>
            </a:r>
            <a:r>
              <a:rPr lang="es-ES" baseline="0"/>
              <a:t> </a:t>
            </a:r>
            <a:r>
              <a:rPr lang="es-ES" sz="1100" baseline="0"/>
              <a:t>(Electricidad) y directas (combustibles)</a:t>
            </a:r>
            <a:endParaRPr lang="es-E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ndard"/>
        <c:varyColors val="0"/>
        <c:ser>
          <c:idx val="2"/>
          <c:order val="1"/>
          <c:tx>
            <c:strRef>
              <c:f>Tendencias!$B$60</c:f>
              <c:strCache>
                <c:ptCount val="1"/>
                <c:pt idx="0">
                  <c:v>Usuarios del período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Tendencias!$C$28:$H$28</c:f>
              <c:numCache>
                <c:formatCode>_-* #,##0.00\ [$€-C0A]_-;\-* #,##0.00\ [$€-C0A]_-;_-* "-"??\ [$€-C0A]_-;_-@_-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cat>
          <c:val>
            <c:numRef>
              <c:f>Tendencias!$C$60:$H$60</c:f>
              <c:numCache>
                <c:formatCode>_-* #,##0\ _€_-;\-* #,##0\ _€_-;_-* "-"??\ _€_-;_-@_-</c:formatCode>
                <c:ptCount val="6"/>
                <c:pt idx="0">
                  <c:v>14760</c:v>
                </c:pt>
                <c:pt idx="1">
                  <c:v>14710</c:v>
                </c:pt>
                <c:pt idx="2">
                  <c:v>15451</c:v>
                </c:pt>
                <c:pt idx="3">
                  <c:v>16097</c:v>
                </c:pt>
                <c:pt idx="4">
                  <c:v>16679</c:v>
                </c:pt>
                <c:pt idx="5">
                  <c:v>17326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D-4D23-BBC4-9F3400520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444184"/>
        <c:axId val="343444576"/>
      </c:areaChart>
      <c:barChart>
        <c:barDir val="col"/>
        <c:grouping val="clustered"/>
        <c:varyColors val="0"/>
        <c:ser>
          <c:idx val="0"/>
          <c:order val="0"/>
          <c:tx>
            <c:strRef>
              <c:f>Tendencias!$B$57</c:f>
              <c:strCache>
                <c:ptCount val="1"/>
                <c:pt idx="0">
                  <c:v>Emisiones anuales de CO2 por usuario (trabajadores+estudiantes) (t CO2 eq)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Tendencias!$C$2:$H$2</c:f>
              <c:numCache>
                <c:formatCode>@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cat>
          <c:val>
            <c:numRef>
              <c:f>Tendencias!$C$57:$H$57</c:f>
              <c:numCache>
                <c:formatCode>0.00</c:formatCode>
                <c:ptCount val="6"/>
                <c:pt idx="0">
                  <c:v>0.28020255060325283</c:v>
                </c:pt>
                <c:pt idx="1">
                  <c:v>0.26728651036497225</c:v>
                </c:pt>
                <c:pt idx="2">
                  <c:v>0.24291631496553892</c:v>
                </c:pt>
                <c:pt idx="3">
                  <c:v>0.23437934621702305</c:v>
                </c:pt>
                <c:pt idx="4">
                  <c:v>0.21970211824026756</c:v>
                </c:pt>
                <c:pt idx="5">
                  <c:v>0.21206524866288612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D-4D23-BBC4-9F3400520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441832"/>
        <c:axId val="343443008"/>
      </c:barChart>
      <c:catAx>
        <c:axId val="34344183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3443008"/>
        <c:crosses val="autoZero"/>
        <c:auto val="1"/>
        <c:lblAlgn val="ctr"/>
        <c:lblOffset val="100"/>
        <c:noMultiLvlLbl val="0"/>
      </c:catAx>
      <c:valAx>
        <c:axId val="34344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400" b="1"/>
                  <a:t>t CO2 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3441832"/>
        <c:crosses val="autoZero"/>
        <c:crossBetween val="between"/>
      </c:valAx>
      <c:valAx>
        <c:axId val="343444576"/>
        <c:scaling>
          <c:orientation val="minMax"/>
        </c:scaling>
        <c:delete val="0"/>
        <c:axPos val="r"/>
        <c:numFmt formatCode="_-* #,##0\ _€_-;\-* #,##0\ _€_-;_-* &quot;-&quot;??\ _€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3444184"/>
        <c:crosses val="max"/>
        <c:crossBetween val="between"/>
      </c:valAx>
      <c:catAx>
        <c:axId val="343444184"/>
        <c:scaling>
          <c:orientation val="minMax"/>
        </c:scaling>
        <c:delete val="1"/>
        <c:axPos val="b"/>
        <c:numFmt formatCode="_-* #,##0.00\ [$€-C0A]_-;\-* #,##0.00\ [$€-C0A]_-;_-* &quot;-&quot;??\ [$€-C0A]_-;_-@_-" sourceLinked="1"/>
        <c:majorTickMark val="out"/>
        <c:minorTickMark val="none"/>
        <c:tickLblPos val="nextTo"/>
        <c:crossAx val="343444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effectLst/>
              </a:rPr>
              <a:t>Universidad de Jaén - Emisiones CO</a:t>
            </a:r>
            <a:r>
              <a:rPr lang="es-ES" sz="1400" b="1" i="0" baseline="-25000">
                <a:effectLst/>
              </a:rPr>
              <a:t>2</a:t>
            </a:r>
            <a:r>
              <a:rPr lang="es-ES" sz="1400" b="1" i="0" baseline="0">
                <a:effectLst/>
              </a:rPr>
              <a:t> por m</a:t>
            </a:r>
            <a:r>
              <a:rPr lang="es-ES" sz="1400" b="1" i="0" baseline="30000">
                <a:effectLst/>
              </a:rPr>
              <a:t>2</a:t>
            </a:r>
            <a:r>
              <a:rPr lang="es-ES" sz="1400" b="0" i="0" baseline="0">
                <a:effectLst/>
              </a:rPr>
              <a:t> indirectas (Electricidad) y directas (combustibles)</a:t>
            </a:r>
            <a:endParaRPr lang="es-ES" sz="1400">
              <a:effectLst/>
            </a:endParaRPr>
          </a:p>
        </c:rich>
      </c:tx>
      <c:layout>
        <c:manualLayout>
          <c:xMode val="edge"/>
          <c:yMode val="edge"/>
          <c:x val="0.14905898024008263"/>
          <c:y val="2.225312609695938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Tendencias!$B$3</c:f>
              <c:strCache>
                <c:ptCount val="1"/>
                <c:pt idx="0">
                  <c:v>Emisiones anuales de CO2 por m2 construido (t CO2 eq/m2)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Tendencias!$C$2:$H$2</c:f>
              <c:numCache>
                <c:formatCode>@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cat>
          <c:val>
            <c:numRef>
              <c:f>Tendencias!$C$3:$H$3</c:f>
              <c:numCache>
                <c:formatCode>0.000</c:formatCode>
                <c:ptCount val="6"/>
                <c:pt idx="0">
                  <c:v>2.3617868142374127E-2</c:v>
                </c:pt>
                <c:pt idx="1">
                  <c:v>2.2482003494567668E-2</c:v>
                </c:pt>
                <c:pt idx="2">
                  <c:v>2.5317666883902804E-2</c:v>
                </c:pt>
                <c:pt idx="3">
                  <c:v>2.5345059344761785E-2</c:v>
                </c:pt>
                <c:pt idx="4">
                  <c:v>2.4587838438479653E-2</c:v>
                </c:pt>
                <c:pt idx="5">
                  <c:v>2.5640655914855141E-2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3-4D2A-ACEF-3AFAF230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254176"/>
        <c:axId val="559253392"/>
      </c:barChart>
      <c:lineChart>
        <c:grouping val="standard"/>
        <c:varyColors val="0"/>
        <c:ser>
          <c:idx val="1"/>
          <c:order val="1"/>
          <c:tx>
            <c:strRef>
              <c:f>Tendencias!$B$4</c:f>
              <c:strCache>
                <c:ptCount val="1"/>
                <c:pt idx="0">
                  <c:v>Promedio del período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Tendencias!$C$2:$H$2</c:f>
              <c:numCache>
                <c:formatCode>@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cat>
          <c:val>
            <c:numRef>
              <c:f>Tendencias!$C$4:$H$4</c:f>
              <c:numCache>
                <c:formatCode>0.000</c:formatCode>
                <c:ptCount val="6"/>
                <c:pt idx="0">
                  <c:v>2.4498515369823528E-2</c:v>
                </c:pt>
                <c:pt idx="1">
                  <c:v>2.4571276525401923E-2</c:v>
                </c:pt>
                <c:pt idx="2">
                  <c:v>2.4571276525401923E-2</c:v>
                </c:pt>
                <c:pt idx="3">
                  <c:v>2.4571276525401923E-2</c:v>
                </c:pt>
                <c:pt idx="4">
                  <c:v>2.4571276525401923E-2</c:v>
                </c:pt>
                <c:pt idx="5">
                  <c:v>2.4571276525401923E-2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3-4D2A-ACEF-3AFAF230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254176"/>
        <c:axId val="559253392"/>
      </c:lineChart>
      <c:lineChart>
        <c:grouping val="standard"/>
        <c:varyColors val="0"/>
        <c:ser>
          <c:idx val="2"/>
          <c:order val="2"/>
          <c:tx>
            <c:strRef>
              <c:f>Tendencias!$B$6</c:f>
              <c:strCache>
                <c:ptCount val="1"/>
                <c:pt idx="0">
                  <c:v>Emisiones anuales de CO2  (t CO2 eq)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Tendencias!$C$2:$H$2</c:f>
              <c:numCache>
                <c:formatCode>@</c:formatCode>
                <c:ptCount val="6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</c:numCache>
            </c:numRef>
          </c:cat>
          <c:val>
            <c:numRef>
              <c:f>Tendencias!$C$6:$H$6</c:f>
              <c:numCache>
                <c:formatCode>_-* #,##0\ _€_-;\-* #,##0\ _€_-;_-* "-"??\ _€_-;_-@_-</c:formatCode>
                <c:ptCount val="6"/>
                <c:pt idx="0">
                  <c:v>4548.2478013919999</c:v>
                </c:pt>
                <c:pt idx="1">
                  <c:v>4329.5068948918206</c:v>
                </c:pt>
                <c:pt idx="2">
                  <c:v>4108.4436350121596</c:v>
                </c:pt>
                <c:pt idx="3">
                  <c:v>4112.8887674163207</c:v>
                </c:pt>
                <c:pt idx="4">
                  <c:v>3990.0101693614993</c:v>
                </c:pt>
                <c:pt idx="5">
                  <c:v>4014.8192876857602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E2-4C9D-A7F4-0D3D4F384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980456"/>
        <c:axId val="343982024"/>
      </c:lineChart>
      <c:catAx>
        <c:axId val="55925417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9253392"/>
        <c:crosses val="autoZero"/>
        <c:auto val="1"/>
        <c:lblAlgn val="ctr"/>
        <c:lblOffset val="100"/>
        <c:noMultiLvlLbl val="0"/>
      </c:catAx>
      <c:valAx>
        <c:axId val="55925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400" b="1"/>
                  <a:t>t CO2 eq/m2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9254176"/>
        <c:crosses val="autoZero"/>
        <c:crossBetween val="between"/>
      </c:valAx>
      <c:valAx>
        <c:axId val="343982024"/>
        <c:scaling>
          <c:orientation val="minMax"/>
          <c:min val="34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3980456"/>
        <c:crosses val="max"/>
        <c:crossBetween val="between"/>
      </c:valAx>
      <c:catAx>
        <c:axId val="34398045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343982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6</xdr:row>
      <xdr:rowOff>123825</xdr:rowOff>
    </xdr:from>
    <xdr:to>
      <xdr:col>5</xdr:col>
      <xdr:colOff>781050</xdr:colOff>
      <xdr:row>29</xdr:row>
      <xdr:rowOff>19050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1009650</xdr:colOff>
      <xdr:row>51</xdr:row>
      <xdr:rowOff>38100</xdr:rowOff>
    </xdr:from>
    <xdr:to>
      <xdr:col>6</xdr:col>
      <xdr:colOff>600075</xdr:colOff>
      <xdr:row>69</xdr:row>
      <xdr:rowOff>0</xdr:rowOff>
    </xdr:to>
    <xdr:graphicFrame macro="">
      <xdr:nvGraphicFramePr>
        <xdr:cNvPr id="1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1609725</xdr:colOff>
      <xdr:row>83</xdr:row>
      <xdr:rowOff>85725</xdr:rowOff>
    </xdr:from>
    <xdr:to>
      <xdr:col>7</xdr:col>
      <xdr:colOff>400050</xdr:colOff>
      <xdr:row>101</xdr:row>
      <xdr:rowOff>47625</xdr:rowOff>
    </xdr:to>
    <xdr:graphicFrame macro="">
      <xdr:nvGraphicFramePr>
        <xdr:cNvPr id="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0.57165</cdr:x>
      <cdr:y>0.79828</cdr:y>
    </cdr:from>
    <cdr:to>
      <cdr:x>0.98027</cdr:x>
      <cdr:y>0.94878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571898" y="3414004"/>
          <a:ext cx="2553221" cy="64364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2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>
              <a:solidFill>
                <a:srgbClr val="C00000"/>
              </a:solidFill>
            </a:rPr>
            <a:t>OBJETIVO:</a:t>
          </a:r>
          <a:r>
            <a:rPr lang="es-ES" sz="1100" b="1" baseline="0">
              <a:solidFill>
                <a:srgbClr val="C00000"/>
              </a:solidFill>
            </a:rPr>
            <a:t> </a:t>
          </a:r>
          <a:r>
            <a:rPr lang="es-ES" sz="1100" baseline="0">
              <a:solidFill>
                <a:srgbClr val="C00000"/>
              </a:solidFill>
            </a:rPr>
            <a:t>Reducción Co</a:t>
          </a:r>
          <a:r>
            <a:rPr lang="es-ES" sz="1100" baseline="-25000">
              <a:solidFill>
                <a:srgbClr val="C00000"/>
              </a:solidFill>
            </a:rPr>
            <a:t>2</a:t>
          </a:r>
          <a:r>
            <a:rPr lang="es-ES" sz="1100" baseline="0">
              <a:solidFill>
                <a:srgbClr val="C00000"/>
              </a:solidFill>
            </a:rPr>
            <a:t> por m</a:t>
          </a:r>
          <a:r>
            <a:rPr lang="es-ES" sz="1100" baseline="30000">
              <a:solidFill>
                <a:srgbClr val="C00000"/>
              </a:solidFill>
            </a:rPr>
            <a:t>2. </a:t>
          </a:r>
          <a:r>
            <a:rPr lang="es-ES" sz="1100" baseline="0">
              <a:solidFill>
                <a:srgbClr val="C00000"/>
              </a:solidFill>
            </a:rPr>
            <a:t>Tasas de variación periododo 2013-2018:  (-15,6%).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6</xdr:row>
      <xdr:rowOff>119062</xdr:rowOff>
    </xdr:from>
    <xdr:to>
      <xdr:col>6</xdr:col>
      <xdr:colOff>590550</xdr:colOff>
      <xdr:row>24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676275</xdr:colOff>
      <xdr:row>35</xdr:row>
      <xdr:rowOff>23812</xdr:rowOff>
    </xdr:from>
    <xdr:to>
      <xdr:col>6</xdr:col>
      <xdr:colOff>590550</xdr:colOff>
      <xdr:row>53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63</xdr:row>
      <xdr:rowOff>23812</xdr:rowOff>
    </xdr:from>
    <xdr:to>
      <xdr:col>6</xdr:col>
      <xdr:colOff>590550</xdr:colOff>
      <xdr:row>81</xdr:row>
      <xdr:rowOff>19050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552450</xdr:colOff>
      <xdr:row>6</xdr:row>
      <xdr:rowOff>104775</xdr:rowOff>
    </xdr:from>
    <xdr:to>
      <xdr:col>15</xdr:col>
      <xdr:colOff>400050</xdr:colOff>
      <xdr:row>24</xdr:row>
      <xdr:rowOff>100013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minetad.gob.es/energia/desarrollo/EficienciaEnergetica/RITE/Reconocidos/Reconocidos/Otros%20documentos/Factores_emision_CO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inetad.gob.es/energia/desarrollo/EficienciaEnergetica/RITE/Reconocidos/Reconocidos/Otros%20documentos/Factores_emision_CO2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inetad.gob.es/energia/desarrollo/EficienciaEnergetica/RITE/Reconocidos/Reconocidos/Otros%20documentos/Factores_emision_CO2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inetad.gob.es/energia/desarrollo/EficienciaEnergetica/RITE/Reconocidos/Reconocidos/Otros%20documentos/Factores_emision_CO2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minetad.gob.es/energia/desarrollo/EficienciaEnergetica/RITE/Reconocidos/Reconocidos/Otros%20documentos/Factores_emision_CO2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inetad.gob.es/energia/desarrollo/EficienciaEnergetica/RITE/Reconocidos/Reconocidos/Otros%20documentos/Factores_emision_CO2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minetad.gob.es/energia/desarrollo/EficienciaEnergetica/RITE/Reconocidos/Reconocidos/Otros%20documentos/Factores_emision_CO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zoomScaleNormal="100" workbookViewId="0"/>
  </sheetViews>
  <sheetFormatPr baseColWidth="10" defaultRowHeight="15" x14ac:dyDescent="0.25"/>
  <cols>
    <col min="1" max="1" width="10.7109375" customWidth="1"/>
    <col min="2" max="2" width="47.42578125" customWidth="1"/>
    <col min="3" max="7" width="12" bestFit="1" customWidth="1"/>
    <col min="8" max="8" width="16.42578125" customWidth="1"/>
  </cols>
  <sheetData>
    <row r="1" spans="1:12" ht="22.5" x14ac:dyDescent="0.3">
      <c r="A1" s="98" t="s">
        <v>189</v>
      </c>
    </row>
    <row r="2" spans="1:12" ht="15.75" thickBot="1" x14ac:dyDescent="0.3"/>
    <row r="3" spans="1:12" ht="45" x14ac:dyDescent="0.25">
      <c r="C3" s="213">
        <v>2011</v>
      </c>
      <c r="D3" s="213">
        <v>2012</v>
      </c>
      <c r="E3" s="213">
        <v>2013</v>
      </c>
      <c r="F3" s="213">
        <v>2014</v>
      </c>
      <c r="G3" s="213">
        <v>2015</v>
      </c>
      <c r="H3" s="213">
        <v>2016</v>
      </c>
      <c r="I3" s="213">
        <v>2017</v>
      </c>
      <c r="J3" s="213">
        <v>2018</v>
      </c>
      <c r="K3" s="214" t="s">
        <v>205</v>
      </c>
      <c r="L3" s="214" t="s">
        <v>206</v>
      </c>
    </row>
    <row r="4" spans="1:12" ht="18.75" x14ac:dyDescent="0.3">
      <c r="A4" s="265" t="s">
        <v>190</v>
      </c>
      <c r="B4" s="265"/>
      <c r="C4" s="196">
        <f>'2011'!$E$92</f>
        <v>2.5640655914855141E-2</v>
      </c>
      <c r="D4" s="195">
        <f>'2012'!$E$92</f>
        <v>2.4587838438479653E-2</v>
      </c>
      <c r="E4" s="195">
        <f>'2013'!$E$92</f>
        <v>2.5345059344761785E-2</v>
      </c>
      <c r="F4" s="195">
        <f>'2014'!$E$92</f>
        <v>2.5317666883902804E-2</v>
      </c>
      <c r="G4" s="195">
        <f>'2015'!$E$92</f>
        <v>2.2482003494567668E-2</v>
      </c>
      <c r="H4" s="194">
        <f>'2016'!$E$92</f>
        <v>2.3617868142374127E-2</v>
      </c>
      <c r="I4" s="194">
        <v>2.3900000000000001E-2</v>
      </c>
      <c r="J4" s="194">
        <v>2.1399999999999999E-2</v>
      </c>
      <c r="K4" s="201">
        <f>(J4-C4)/C4</f>
        <v>-0.16538796546145612</v>
      </c>
      <c r="L4" s="201">
        <f>(J4-E4)/E4</f>
        <v>-0.15565397938502498</v>
      </c>
    </row>
    <row r="5" spans="1:12" x14ac:dyDescent="0.25">
      <c r="A5" s="265" t="s">
        <v>116</v>
      </c>
      <c r="B5" s="265"/>
      <c r="C5" s="179">
        <v>2.4571276525401923E-2</v>
      </c>
      <c r="D5" s="179">
        <v>2.4571276525401923E-2</v>
      </c>
      <c r="E5" s="179">
        <v>2.4571276525401923E-2</v>
      </c>
      <c r="F5" s="179">
        <v>2.4571276525401923E-2</v>
      </c>
      <c r="G5" s="179">
        <v>2.4571276525401923E-2</v>
      </c>
      <c r="H5" s="178">
        <f>AVERAGE(C4:H4)</f>
        <v>2.4498515369823528E-2</v>
      </c>
      <c r="I5" s="178">
        <f>AVERAGE(C4:I4)</f>
        <v>2.4413013174134451E-2</v>
      </c>
      <c r="J5" s="178">
        <f>AVERAGE(C4:J4)</f>
        <v>2.4036386527367646E-2</v>
      </c>
    </row>
    <row r="6" spans="1:12" x14ac:dyDescent="0.25">
      <c r="A6" t="s">
        <v>127</v>
      </c>
      <c r="C6" s="215">
        <v>4548.2478013919999</v>
      </c>
      <c r="D6" s="215">
        <v>4329.5068948918206</v>
      </c>
      <c r="E6" s="215">
        <v>4108.4436350121596</v>
      </c>
      <c r="F6" s="215">
        <v>4112.8887674163207</v>
      </c>
      <c r="G6" s="215">
        <v>3990.0101693614993</v>
      </c>
      <c r="H6" s="215">
        <v>4014.8192876857602</v>
      </c>
      <c r="I6" s="215">
        <v>4621.55</v>
      </c>
      <c r="J6" s="215">
        <v>4429.5200000000004</v>
      </c>
    </row>
    <row r="8" spans="1:12" s="220" customFormat="1" x14ac:dyDescent="0.25"/>
    <row r="9" spans="1:12" s="220" customFormat="1" x14ac:dyDescent="0.25"/>
    <row r="10" spans="1:12" s="220" customFormat="1" x14ac:dyDescent="0.25"/>
    <row r="30" spans="1:1" s="220" customFormat="1" x14ac:dyDescent="0.25"/>
    <row r="31" spans="1:1" s="220" customFormat="1" x14ac:dyDescent="0.25"/>
    <row r="32" spans="1:1" s="238" customFormat="1" ht="18.75" x14ac:dyDescent="0.3">
      <c r="A32" s="237" t="s">
        <v>198</v>
      </c>
    </row>
    <row r="33" spans="1:12" s="220" customFormat="1" x14ac:dyDescent="0.25"/>
    <row r="34" spans="1:12" ht="15.75" thickBot="1" x14ac:dyDescent="0.3"/>
    <row r="35" spans="1:12" ht="45" x14ac:dyDescent="0.25">
      <c r="A35" s="265"/>
      <c r="B35" s="265"/>
      <c r="C35" s="239">
        <v>2011</v>
      </c>
      <c r="D35" s="239">
        <v>2012</v>
      </c>
      <c r="E35" s="239">
        <v>2013</v>
      </c>
      <c r="F35" s="239">
        <v>2014</v>
      </c>
      <c r="G35" s="239">
        <v>2015</v>
      </c>
      <c r="H35" s="239">
        <v>2016</v>
      </c>
      <c r="I35" s="239">
        <v>2017</v>
      </c>
      <c r="J35" s="239">
        <v>2018</v>
      </c>
      <c r="K35" s="214" t="s">
        <v>205</v>
      </c>
      <c r="L35" s="214" t="s">
        <v>206</v>
      </c>
    </row>
    <row r="36" spans="1:12" ht="18.75" x14ac:dyDescent="0.3">
      <c r="A36" s="265" t="s">
        <v>124</v>
      </c>
      <c r="B36" s="265"/>
      <c r="C36" s="242">
        <f t="shared" ref="C36:G36" si="0">+C38/C40</f>
        <v>2.5</v>
      </c>
      <c r="D36" s="242">
        <f t="shared" si="0"/>
        <v>2.6923076923076925</v>
      </c>
      <c r="E36" s="242">
        <f t="shared" si="0"/>
        <v>2.8345968297725705</v>
      </c>
      <c r="F36" s="242">
        <f t="shared" si="0"/>
        <v>2.8098495212038306</v>
      </c>
      <c r="G36" s="242">
        <f t="shared" si="0"/>
        <v>2.90994623655914</v>
      </c>
      <c r="H36" s="242">
        <f>+H38/H40</f>
        <v>3.089673913043478</v>
      </c>
      <c r="I36" s="242">
        <f t="shared" ref="I36:J36" si="1">+I38/I40</f>
        <v>2.9571337172104926</v>
      </c>
      <c r="J36" s="242">
        <f t="shared" si="1"/>
        <v>2.8342930262316059</v>
      </c>
      <c r="K36" s="216">
        <f>(J36-C36)/C36</f>
        <v>0.13371721049264237</v>
      </c>
      <c r="L36" s="216">
        <f>(J36-E36)/E36</f>
        <v>-1.0717698466803585E-4</v>
      </c>
    </row>
    <row r="37" spans="1:12" ht="18.75" x14ac:dyDescent="0.3">
      <c r="A37" s="265" t="s">
        <v>116</v>
      </c>
      <c r="B37" s="265"/>
      <c r="C37" s="243">
        <f>AVERAGE($C$36:C36)</f>
        <v>2.5</v>
      </c>
      <c r="D37" s="243">
        <f>AVERAGE($C$36:D36)</f>
        <v>2.5961538461538463</v>
      </c>
      <c r="E37" s="243">
        <f>AVERAGE($C$36:E36)</f>
        <v>2.6756348406934212</v>
      </c>
      <c r="F37" s="243">
        <f>AVERAGE($C$36:F36)</f>
        <v>2.7091885108210234</v>
      </c>
      <c r="G37" s="243">
        <f>AVERAGE($C$36:G36)</f>
        <v>2.7493400559686467</v>
      </c>
      <c r="H37" s="243">
        <f>AVERAGE($C$36:H36)</f>
        <v>2.8060623654811185</v>
      </c>
      <c r="I37" s="243">
        <f>AVERAGE($C$36:I36)</f>
        <v>2.8276439871567436</v>
      </c>
      <c r="J37" s="243">
        <f>AVERAGE($C$36:J36)</f>
        <v>2.8284751170411013</v>
      </c>
      <c r="K37" s="216"/>
      <c r="L37" s="216">
        <f t="shared" ref="L37:L40" si="2">(J37-E37)/E37</f>
        <v>5.7122995269440376E-2</v>
      </c>
    </row>
    <row r="38" spans="1:12" ht="18.75" x14ac:dyDescent="0.3">
      <c r="A38" s="265" t="s">
        <v>127</v>
      </c>
      <c r="B38" s="265"/>
      <c r="C38" s="255">
        <v>4015</v>
      </c>
      <c r="D38" s="255">
        <v>3990</v>
      </c>
      <c r="E38" s="255">
        <v>4113</v>
      </c>
      <c r="F38" s="255">
        <v>4108</v>
      </c>
      <c r="G38" s="255">
        <v>4330</v>
      </c>
      <c r="H38" s="255">
        <v>4548</v>
      </c>
      <c r="I38" s="255">
        <v>4622</v>
      </c>
      <c r="J38" s="255">
        <v>4430</v>
      </c>
      <c r="K38" s="216">
        <f t="shared" ref="K38:K40" si="3">(J38-C38)/C38</f>
        <v>0.10336239103362391</v>
      </c>
      <c r="L38" s="216">
        <f t="shared" si="2"/>
        <v>7.707269632871383E-2</v>
      </c>
    </row>
    <row r="39" spans="1:12" ht="18.75" x14ac:dyDescent="0.3">
      <c r="A39" s="265" t="s">
        <v>116</v>
      </c>
      <c r="B39" s="265"/>
      <c r="C39" s="255">
        <f>AVERAGE($C$38:C38)</f>
        <v>4015</v>
      </c>
      <c r="D39" s="255">
        <f>AVERAGE($C$38:D38)</f>
        <v>4002.5</v>
      </c>
      <c r="E39" s="255">
        <f>AVERAGE($C$38:E38)</f>
        <v>4039.3333333333335</v>
      </c>
      <c r="F39" s="255">
        <f>AVERAGE($C$38:F38)</f>
        <v>4056.5</v>
      </c>
      <c r="G39" s="255">
        <f>AVERAGE($C$38:G38)</f>
        <v>4111.2</v>
      </c>
      <c r="H39" s="255">
        <f>AVERAGE($C$38:H38)</f>
        <v>4184</v>
      </c>
      <c r="I39" s="255">
        <f>AVERAGE($C$38:I38)</f>
        <v>4246.5714285714284</v>
      </c>
      <c r="J39" s="255">
        <f>AVERAGE($C$38:J38)</f>
        <v>4269.5</v>
      </c>
      <c r="K39" s="216"/>
      <c r="L39" s="216">
        <f t="shared" si="2"/>
        <v>5.6981350057765265E-2</v>
      </c>
    </row>
    <row r="40" spans="1:12" ht="18.75" x14ac:dyDescent="0.3">
      <c r="A40" s="265" t="s">
        <v>118</v>
      </c>
      <c r="B40" s="265"/>
      <c r="C40" s="244">
        <v>1606</v>
      </c>
      <c r="D40" s="245">
        <f>'2012'!$F$78</f>
        <v>1482</v>
      </c>
      <c r="E40" s="245">
        <f>'2013'!$F$78</f>
        <v>1451</v>
      </c>
      <c r="F40" s="245">
        <f>'2014'!$F$78</f>
        <v>1462</v>
      </c>
      <c r="G40" s="245">
        <f>'2015'!$F$78</f>
        <v>1488</v>
      </c>
      <c r="H40" s="245">
        <f>'2016'!$F$78</f>
        <v>1472</v>
      </c>
      <c r="I40" s="245">
        <v>1563</v>
      </c>
      <c r="J40" s="245">
        <v>1563</v>
      </c>
      <c r="K40" s="216">
        <f t="shared" si="3"/>
        <v>-2.6774595267745952E-2</v>
      </c>
      <c r="L40" s="216">
        <f t="shared" si="2"/>
        <v>7.7188146106133698E-2</v>
      </c>
    </row>
    <row r="41" spans="1:12" ht="18.75" x14ac:dyDescent="0.25">
      <c r="A41" s="265" t="s">
        <v>117</v>
      </c>
      <c r="B41" s="265"/>
      <c r="C41" s="217"/>
      <c r="D41" s="217"/>
      <c r="E41" s="217"/>
      <c r="F41" s="217"/>
      <c r="G41" s="217"/>
      <c r="H41" s="217"/>
      <c r="I41" s="217"/>
      <c r="J41" s="217"/>
      <c r="K41" s="218">
        <v>0.13365102483193977</v>
      </c>
      <c r="L41" s="261"/>
    </row>
    <row r="42" spans="1:12" ht="35.25" customHeight="1" thickBot="1" x14ac:dyDescent="0.3">
      <c r="A42" s="263" t="s">
        <v>121</v>
      </c>
      <c r="B42" s="263"/>
      <c r="C42" s="217"/>
      <c r="D42" s="217"/>
      <c r="E42" s="217"/>
      <c r="F42" s="217"/>
      <c r="G42" s="217"/>
      <c r="H42" s="217"/>
      <c r="I42" s="217"/>
      <c r="J42" s="217"/>
      <c r="K42" s="174">
        <v>0.16</v>
      </c>
      <c r="L42" s="261"/>
    </row>
    <row r="43" spans="1:12" x14ac:dyDescent="0.25">
      <c r="A43" s="219"/>
      <c r="B43" s="219"/>
    </row>
    <row r="44" spans="1:12" ht="15.75" thickBot="1" x14ac:dyDescent="0.3">
      <c r="A44" s="219"/>
      <c r="B44" s="219"/>
    </row>
    <row r="45" spans="1:12" ht="37.5" customHeight="1" x14ac:dyDescent="0.25">
      <c r="A45" s="264" t="s">
        <v>199</v>
      </c>
      <c r="B45" s="264"/>
      <c r="C45" s="239">
        <v>2011</v>
      </c>
      <c r="D45" s="239">
        <v>2012</v>
      </c>
      <c r="E45" s="239">
        <v>2013</v>
      </c>
      <c r="F45" s="239">
        <v>2014</v>
      </c>
      <c r="G45" s="239">
        <v>2015</v>
      </c>
      <c r="H45" s="239">
        <v>2016</v>
      </c>
      <c r="I45" s="239">
        <v>2017</v>
      </c>
      <c r="J45" s="239">
        <v>2018</v>
      </c>
    </row>
    <row r="46" spans="1:12" ht="18.75" x14ac:dyDescent="0.25">
      <c r="A46" s="265" t="s">
        <v>124</v>
      </c>
      <c r="B46" s="265"/>
      <c r="C46" s="240">
        <f>'2011'!$E$98</f>
        <v>2.4998874767657284</v>
      </c>
      <c r="D46" s="241">
        <f>'2012'!$E$98</f>
        <v>2.6923145542250331</v>
      </c>
      <c r="E46" s="241">
        <f>'2013'!$E$98</f>
        <v>2.8345201705143492</v>
      </c>
      <c r="F46" s="241">
        <f>'2014'!$E$98</f>
        <v>2.8101529651245962</v>
      </c>
      <c r="G46" s="241">
        <f>'2015'!$E$98</f>
        <v>2.9096148487176214</v>
      </c>
      <c r="H46" s="242">
        <f>+H36</f>
        <v>3.089673913043478</v>
      </c>
      <c r="I46" s="242">
        <f t="shared" ref="I46:J46" si="4">+I36</f>
        <v>2.9571337172104926</v>
      </c>
      <c r="J46" s="242">
        <f t="shared" si="4"/>
        <v>2.8342930262316059</v>
      </c>
    </row>
    <row r="47" spans="1:12" x14ac:dyDescent="0.25">
      <c r="A47" s="265" t="s">
        <v>118</v>
      </c>
      <c r="B47" s="265"/>
      <c r="C47" s="244">
        <v>1606</v>
      </c>
      <c r="D47" s="245">
        <f>'2012'!$F$78</f>
        <v>1482</v>
      </c>
      <c r="E47" s="245">
        <f>'2013'!$F$78</f>
        <v>1451</v>
      </c>
      <c r="F47" s="245">
        <f>'2014'!$F$78</f>
        <v>1462</v>
      </c>
      <c r="G47" s="245">
        <f>'2015'!$F$78</f>
        <v>1488</v>
      </c>
      <c r="H47" s="245">
        <f>+H40</f>
        <v>1472</v>
      </c>
      <c r="I47" s="245">
        <f t="shared" ref="I47:J47" si="5">+I40</f>
        <v>1563</v>
      </c>
      <c r="J47" s="245">
        <f t="shared" si="5"/>
        <v>1563</v>
      </c>
    </row>
    <row r="48" spans="1:12" x14ac:dyDescent="0.25">
      <c r="A48" s="219"/>
      <c r="B48" s="219"/>
    </row>
    <row r="49" spans="1:2" x14ac:dyDescent="0.25">
      <c r="A49" s="219"/>
      <c r="B49" s="219"/>
    </row>
    <row r="50" spans="1:2" x14ac:dyDescent="0.25">
      <c r="A50" s="219"/>
      <c r="B50" s="219"/>
    </row>
    <row r="51" spans="1:2" x14ac:dyDescent="0.25">
      <c r="A51" s="219"/>
      <c r="B51" s="219"/>
    </row>
    <row r="52" spans="1:2" x14ac:dyDescent="0.25">
      <c r="A52" s="219"/>
      <c r="B52" s="219"/>
    </row>
    <row r="53" spans="1:2" x14ac:dyDescent="0.25">
      <c r="A53" s="219"/>
      <c r="B53" s="219"/>
    </row>
    <row r="54" spans="1:2" x14ac:dyDescent="0.25">
      <c r="A54" s="219"/>
      <c r="B54" s="219"/>
    </row>
    <row r="55" spans="1:2" x14ac:dyDescent="0.25">
      <c r="A55" s="219"/>
      <c r="B55" s="219"/>
    </row>
    <row r="56" spans="1:2" x14ac:dyDescent="0.25">
      <c r="A56" s="219"/>
      <c r="B56" s="219"/>
    </row>
    <row r="57" spans="1:2" x14ac:dyDescent="0.25">
      <c r="A57" s="219"/>
      <c r="B57" s="219"/>
    </row>
    <row r="58" spans="1:2" x14ac:dyDescent="0.25">
      <c r="A58" s="219"/>
      <c r="B58" s="219"/>
    </row>
    <row r="59" spans="1:2" x14ac:dyDescent="0.25">
      <c r="A59" s="219"/>
      <c r="B59" s="219"/>
    </row>
    <row r="60" spans="1:2" x14ac:dyDescent="0.25">
      <c r="A60" s="219"/>
      <c r="B60" s="219"/>
    </row>
    <row r="61" spans="1:2" x14ac:dyDescent="0.25">
      <c r="A61" s="219"/>
      <c r="B61" s="219"/>
    </row>
    <row r="62" spans="1:2" x14ac:dyDescent="0.25">
      <c r="A62" s="219"/>
      <c r="B62" s="219"/>
    </row>
    <row r="63" spans="1:2" x14ac:dyDescent="0.25">
      <c r="A63" s="219"/>
      <c r="B63" s="219"/>
    </row>
    <row r="72" spans="1:12" s="238" customFormat="1" ht="18.75" x14ac:dyDescent="0.3">
      <c r="A72" s="237" t="s">
        <v>200</v>
      </c>
    </row>
    <row r="75" spans="1:12" ht="15.75" thickBot="1" x14ac:dyDescent="0.3">
      <c r="C75" s="260"/>
      <c r="D75" s="260"/>
      <c r="E75" s="260"/>
      <c r="F75" s="260"/>
      <c r="G75" s="260"/>
      <c r="H75" s="260"/>
      <c r="I75" s="260"/>
      <c r="J75" s="260"/>
    </row>
    <row r="76" spans="1:12" ht="45" x14ac:dyDescent="0.25">
      <c r="A76" s="265"/>
      <c r="B76" s="265"/>
      <c r="C76" s="239">
        <v>2011</v>
      </c>
      <c r="D76" s="239">
        <v>2012</v>
      </c>
      <c r="E76" s="239">
        <v>2013</v>
      </c>
      <c r="F76" s="239">
        <v>2014</v>
      </c>
      <c r="G76" s="239">
        <v>2015</v>
      </c>
      <c r="H76" s="239">
        <v>2016</v>
      </c>
      <c r="I76" s="239">
        <v>2017</v>
      </c>
      <c r="J76" s="239">
        <v>2018</v>
      </c>
      <c r="K76" s="214" t="s">
        <v>205</v>
      </c>
      <c r="L76" s="214" t="s">
        <v>206</v>
      </c>
    </row>
    <row r="77" spans="1:12" ht="35.25" customHeight="1" thickBot="1" x14ac:dyDescent="0.3">
      <c r="A77" s="263" t="s">
        <v>191</v>
      </c>
      <c r="B77" s="263"/>
      <c r="C77" s="256">
        <f>+C38/C78</f>
        <v>0.21207479399957743</v>
      </c>
      <c r="D77" s="256">
        <f t="shared" ref="D77:E77" si="6">+D38/D78</f>
        <v>0.21970155828423546</v>
      </c>
      <c r="E77" s="256">
        <f t="shared" si="6"/>
        <v>0.23438568497834511</v>
      </c>
      <c r="F77" s="256">
        <f>+F38/F78</f>
        <v>0.24289008455034589</v>
      </c>
      <c r="G77" s="256">
        <f t="shared" ref="G77" si="7">+G38/G78</f>
        <v>0.26731695271021116</v>
      </c>
      <c r="H77" s="256">
        <f>+H38/H78</f>
        <v>0.28018728437654017</v>
      </c>
      <c r="I77" s="256">
        <f t="shared" ref="I77" si="8">+I38/I78</f>
        <v>0.26848678478071447</v>
      </c>
      <c r="J77" s="256">
        <f>+J38/J78</f>
        <v>0.26138777436865707</v>
      </c>
      <c r="K77" s="246">
        <v>0.245</v>
      </c>
      <c r="L77" s="262">
        <f>(J77-E77)/E77</f>
        <v>0.11520366268446249</v>
      </c>
    </row>
    <row r="78" spans="1:12" ht="19.5" thickBot="1" x14ac:dyDescent="0.3">
      <c r="A78" s="263" t="s">
        <v>119</v>
      </c>
      <c r="B78" s="263"/>
      <c r="C78" s="257">
        <f>+'2011'!G70</f>
        <v>18932</v>
      </c>
      <c r="D78" s="258">
        <f>+'2012'!G70</f>
        <v>18161</v>
      </c>
      <c r="E78" s="258">
        <f>+'2013'!G70</f>
        <v>17548</v>
      </c>
      <c r="F78" s="258">
        <f>+'2014'!G70</f>
        <v>16913</v>
      </c>
      <c r="G78" s="258">
        <f>+'2015'!G70</f>
        <v>16198</v>
      </c>
      <c r="H78" s="258">
        <f>+'2016'!G70</f>
        <v>16232</v>
      </c>
      <c r="I78" s="258">
        <v>17215</v>
      </c>
      <c r="J78" s="258">
        <v>16948</v>
      </c>
      <c r="K78" s="246">
        <v>-2.1999999999999999E-2</v>
      </c>
      <c r="L78" s="262">
        <f>(J78-E78)/E78</f>
        <v>-3.4191930704353772E-2</v>
      </c>
    </row>
    <row r="79" spans="1:12" ht="15.75" thickBot="1" x14ac:dyDescent="0.3">
      <c r="A79" s="263" t="s">
        <v>125</v>
      </c>
      <c r="B79" s="263"/>
      <c r="C79" s="259">
        <f>AVERAGE($C$77:C77)</f>
        <v>0.21207479399957743</v>
      </c>
      <c r="D79" s="259">
        <f>AVERAGE($C$77:D77)</f>
        <v>0.21588817614190645</v>
      </c>
      <c r="E79" s="259">
        <f>AVERAGE($C$77:E77)</f>
        <v>0.22205401242071932</v>
      </c>
      <c r="F79" s="259">
        <f>AVERAGE($C$77:F77)</f>
        <v>0.22726303045312596</v>
      </c>
      <c r="G79" s="259">
        <f>AVERAGE($C$77:G77)</f>
        <v>0.23527381490454297</v>
      </c>
      <c r="H79" s="259">
        <f>AVERAGE($C$77:H77)</f>
        <v>0.24275939314987585</v>
      </c>
      <c r="I79" s="259">
        <f>AVERAGE($C$77:I77)</f>
        <v>0.24643473481142422</v>
      </c>
      <c r="J79" s="259">
        <f>AVERAGE($C$77:J77)</f>
        <v>0.24830386475607832</v>
      </c>
      <c r="K79" s="246"/>
    </row>
    <row r="80" spans="1:12" ht="19.5" thickBot="1" x14ac:dyDescent="0.3">
      <c r="A80" s="263" t="s">
        <v>117</v>
      </c>
      <c r="B80" s="263"/>
      <c r="C80" s="217"/>
      <c r="D80" s="217"/>
      <c r="E80" s="217"/>
      <c r="F80" s="217"/>
      <c r="G80" s="217"/>
      <c r="H80" s="217"/>
      <c r="I80" s="235"/>
      <c r="J80" s="235"/>
      <c r="K80" s="246">
        <v>0.245</v>
      </c>
      <c r="L80" s="262"/>
    </row>
    <row r="81" spans="1:11" ht="30" customHeight="1" thickBot="1" x14ac:dyDescent="0.3">
      <c r="A81" s="263" t="s">
        <v>120</v>
      </c>
      <c r="B81" s="263"/>
      <c r="C81" s="217"/>
      <c r="D81" s="217"/>
      <c r="E81" s="217"/>
      <c r="F81" s="217"/>
      <c r="G81" s="217"/>
      <c r="H81" s="217"/>
      <c r="I81" s="235"/>
      <c r="J81" s="235"/>
      <c r="K81" s="246">
        <v>0.26600000000000001</v>
      </c>
    </row>
  </sheetData>
  <mergeCells count="19">
    <mergeCell ref="A35:B35"/>
    <mergeCell ref="A5:B5"/>
    <mergeCell ref="A4:B4"/>
    <mergeCell ref="A36:B36"/>
    <mergeCell ref="A37:B37"/>
    <mergeCell ref="A38:B38"/>
    <mergeCell ref="A40:B40"/>
    <mergeCell ref="A39:B39"/>
    <mergeCell ref="A41:B41"/>
    <mergeCell ref="A42:B42"/>
    <mergeCell ref="A79:B79"/>
    <mergeCell ref="A80:B80"/>
    <mergeCell ref="A81:B81"/>
    <mergeCell ref="A45:B45"/>
    <mergeCell ref="A46:B46"/>
    <mergeCell ref="A47:B47"/>
    <mergeCell ref="A76:B76"/>
    <mergeCell ref="A77:B77"/>
    <mergeCell ref="A78:B78"/>
  </mergeCells>
  <pageMargins left="0.70866141732283472" right="0.70866141732283472" top="1.3385826771653544" bottom="0.74803149606299213" header="0.31496062992125984" footer="0.31496062992125984"/>
  <pageSetup paperSize="9" scale="96" orientation="landscape" r:id="rId1"/>
  <headerFooter>
    <oddHeader>&amp;L&amp;G&amp;CVICERRECTORADO DE T.I.C. E INFRAESTRUCTURAS&amp;R&amp;"-,Negrita"&amp;12UNIDAD TÉCNICA</oddHeader>
    <oddFooter>&amp;L&amp;D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opLeftCell="A54" zoomScaleNormal="100" zoomScaleSheetLayoutView="100" workbookViewId="0">
      <selection activeCell="C79" sqref="C79"/>
    </sheetView>
  </sheetViews>
  <sheetFormatPr baseColWidth="10" defaultRowHeight="12.75" x14ac:dyDescent="0.2"/>
  <cols>
    <col min="1" max="1" width="11.42578125" style="1"/>
    <col min="2" max="2" width="15" style="1" customWidth="1"/>
    <col min="3" max="3" width="22.5703125" style="1" customWidth="1"/>
    <col min="4" max="4" width="19" style="1" customWidth="1"/>
    <col min="5" max="5" width="10.42578125" style="1" bestFit="1" customWidth="1"/>
    <col min="6" max="6" width="16.85546875" style="1" customWidth="1"/>
    <col min="7" max="7" width="20.7109375" style="1" customWidth="1"/>
    <col min="8" max="8" width="7" style="1" bestFit="1" customWidth="1"/>
    <col min="9" max="9" width="18.85546875" style="1" customWidth="1"/>
    <col min="10" max="10" width="18.85546875" style="1" bestFit="1" customWidth="1"/>
    <col min="11" max="11" width="9" style="1" bestFit="1" customWidth="1"/>
    <col min="12" max="12" width="23.140625" style="1" bestFit="1" customWidth="1"/>
    <col min="13" max="13" width="13.85546875" style="1" bestFit="1" customWidth="1"/>
    <col min="14" max="14" width="8" style="1" bestFit="1" customWidth="1"/>
    <col min="15" max="15" width="7.28515625" style="1" bestFit="1" customWidth="1"/>
    <col min="16" max="16" width="11.5703125" style="1" bestFit="1" customWidth="1"/>
    <col min="17" max="16384" width="11.42578125" style="1"/>
  </cols>
  <sheetData>
    <row r="1" spans="1:7" ht="30" x14ac:dyDescent="0.4">
      <c r="A1" s="102" t="s">
        <v>68</v>
      </c>
    </row>
    <row r="2" spans="1:7" ht="15.75" x14ac:dyDescent="0.25">
      <c r="A2" s="104" t="s">
        <v>63</v>
      </c>
      <c r="B2" s="103" t="s">
        <v>64</v>
      </c>
      <c r="C2" s="103"/>
      <c r="D2" s="103"/>
      <c r="E2" s="103"/>
      <c r="F2" s="103"/>
    </row>
    <row r="3" spans="1:7" ht="15.75" x14ac:dyDescent="0.25">
      <c r="A3" s="103"/>
      <c r="B3" s="105" t="s">
        <v>65</v>
      </c>
      <c r="C3" s="103"/>
      <c r="D3" s="103"/>
      <c r="E3" s="103"/>
      <c r="F3" s="103"/>
    </row>
    <row r="4" spans="1:7" ht="15.75" x14ac:dyDescent="0.25">
      <c r="A4" s="103"/>
      <c r="B4" s="103"/>
      <c r="C4" s="103"/>
      <c r="D4" s="103"/>
      <c r="E4" s="103"/>
      <c r="F4" s="103"/>
    </row>
    <row r="5" spans="1:7" ht="15.75" x14ac:dyDescent="0.25">
      <c r="A5" s="103"/>
      <c r="B5" s="103" t="s">
        <v>69</v>
      </c>
      <c r="C5" s="103"/>
      <c r="D5" s="103"/>
      <c r="E5" s="103"/>
      <c r="F5" s="103"/>
    </row>
    <row r="6" spans="1:7" ht="15.75" x14ac:dyDescent="0.25">
      <c r="A6" s="103"/>
      <c r="B6" s="103" t="s">
        <v>66</v>
      </c>
      <c r="C6" s="103"/>
      <c r="D6" s="103"/>
      <c r="E6" s="103"/>
      <c r="F6" s="103"/>
    </row>
    <row r="7" spans="1:7" ht="15.75" x14ac:dyDescent="0.25">
      <c r="A7" s="103"/>
      <c r="B7" s="103" t="s">
        <v>67</v>
      </c>
      <c r="C7" s="103"/>
      <c r="D7" s="103"/>
      <c r="E7" s="103"/>
      <c r="F7" s="103"/>
    </row>
    <row r="8" spans="1:7" ht="14.25" x14ac:dyDescent="0.2">
      <c r="B8" s="38"/>
      <c r="C8" s="38"/>
      <c r="D8" s="38"/>
      <c r="E8" s="38"/>
      <c r="F8" s="38"/>
    </row>
    <row r="9" spans="1:7" ht="17.25" x14ac:dyDescent="0.3">
      <c r="A9" s="292" t="s">
        <v>188</v>
      </c>
      <c r="B9" s="292"/>
      <c r="C9" s="292"/>
    </row>
    <row r="11" spans="1:7" ht="23.25" x14ac:dyDescent="0.35">
      <c r="A11" s="101" t="s">
        <v>25</v>
      </c>
    </row>
    <row r="12" spans="1:7" ht="15.75" x14ac:dyDescent="0.25">
      <c r="C12" s="269" t="s">
        <v>0</v>
      </c>
      <c r="D12" s="269"/>
      <c r="E12" s="269"/>
      <c r="F12" s="269"/>
    </row>
    <row r="13" spans="1:7" ht="13.5" thickBot="1" x14ac:dyDescent="0.25"/>
    <row r="14" spans="1:7" s="65" customFormat="1" ht="27" customHeight="1" thickBot="1" x14ac:dyDescent="0.3">
      <c r="C14" s="43" t="s">
        <v>20</v>
      </c>
      <c r="D14" s="42" t="s">
        <v>5</v>
      </c>
      <c r="E14" s="270" t="s">
        <v>1</v>
      </c>
      <c r="F14" s="270"/>
      <c r="G14" s="66" t="s">
        <v>85</v>
      </c>
    </row>
    <row r="15" spans="1:7" ht="16.5" thickBot="1" x14ac:dyDescent="0.3">
      <c r="B15" s="3" t="s">
        <v>48</v>
      </c>
      <c r="C15" s="48">
        <v>9449872</v>
      </c>
      <c r="D15" s="4" t="s">
        <v>21</v>
      </c>
      <c r="E15" s="5">
        <v>0.38500000000000001</v>
      </c>
      <c r="F15" s="6" t="s">
        <v>2</v>
      </c>
      <c r="G15" s="49">
        <f>C15*E15/1000</f>
        <v>3638.2007200000003</v>
      </c>
    </row>
    <row r="16" spans="1:7" ht="16.5" thickBot="1" x14ac:dyDescent="0.3">
      <c r="B16" s="3" t="s">
        <v>49</v>
      </c>
      <c r="C16" s="48"/>
      <c r="D16" s="4" t="s">
        <v>21</v>
      </c>
      <c r="E16" s="5">
        <v>0.38500000000000001</v>
      </c>
      <c r="F16" s="6" t="s">
        <v>2</v>
      </c>
      <c r="G16" s="49">
        <f>C16*E16</f>
        <v>0</v>
      </c>
    </row>
    <row r="17" spans="2:11" x14ac:dyDescent="0.2">
      <c r="G17" s="55">
        <f>SUM(G15:G16)</f>
        <v>3638.2007200000003</v>
      </c>
    </row>
    <row r="18" spans="2:11" ht="15.75" x14ac:dyDescent="0.25">
      <c r="C18" s="269" t="s">
        <v>3</v>
      </c>
      <c r="D18" s="269"/>
      <c r="E18" s="269"/>
      <c r="F18" s="269"/>
      <c r="G18" s="55"/>
    </row>
    <row r="19" spans="2:11" ht="13.5" thickBot="1" x14ac:dyDescent="0.25"/>
    <row r="20" spans="2:11" s="46" customFormat="1" ht="30.75" customHeight="1" thickBot="1" x14ac:dyDescent="0.3">
      <c r="B20" s="59" t="s">
        <v>4</v>
      </c>
      <c r="C20" s="60" t="s">
        <v>20</v>
      </c>
      <c r="D20" s="62" t="s">
        <v>5</v>
      </c>
      <c r="E20" s="266" t="s">
        <v>7</v>
      </c>
      <c r="F20" s="271"/>
      <c r="G20" s="64" t="s">
        <v>21</v>
      </c>
      <c r="H20" s="266" t="s">
        <v>1</v>
      </c>
      <c r="I20" s="267"/>
      <c r="J20" s="66" t="s">
        <v>85</v>
      </c>
    </row>
    <row r="21" spans="2:11" ht="15.75" x14ac:dyDescent="0.25">
      <c r="B21" s="11" t="s">
        <v>8</v>
      </c>
      <c r="C21" s="86">
        <v>102706</v>
      </c>
      <c r="D21" s="13" t="s">
        <v>24</v>
      </c>
      <c r="E21" s="14">
        <v>10.7056</v>
      </c>
      <c r="F21" s="15" t="s">
        <v>27</v>
      </c>
      <c r="G21" s="87">
        <f>C21*E21</f>
        <v>1099529.3536</v>
      </c>
      <c r="H21" s="14">
        <v>0.2016</v>
      </c>
      <c r="I21" s="14" t="s">
        <v>2</v>
      </c>
      <c r="J21" s="88">
        <f>G21*H21/1000</f>
        <v>221.66511768576001</v>
      </c>
    </row>
    <row r="22" spans="2:11" ht="26.25" x14ac:dyDescent="0.25">
      <c r="B22" s="16" t="s">
        <v>26</v>
      </c>
      <c r="C22" s="86">
        <v>55625</v>
      </c>
      <c r="D22" s="18" t="s">
        <v>9</v>
      </c>
      <c r="E22" s="19">
        <v>10.6</v>
      </c>
      <c r="F22" s="20" t="s">
        <v>10</v>
      </c>
      <c r="G22" s="87">
        <f t="shared" ref="G22:G26" si="0">C22*E22</f>
        <v>589625</v>
      </c>
      <c r="H22" s="19">
        <v>0.26279999999999998</v>
      </c>
      <c r="I22" s="19" t="s">
        <v>2</v>
      </c>
      <c r="J22" s="88">
        <f t="shared" ref="J22:J26" si="1">G22*H22/1000</f>
        <v>154.95344999999998</v>
      </c>
    </row>
    <row r="23" spans="2:11" ht="39" x14ac:dyDescent="0.25">
      <c r="B23" s="16" t="s">
        <v>30</v>
      </c>
      <c r="C23" s="146"/>
      <c r="D23" s="18" t="s">
        <v>11</v>
      </c>
      <c r="E23" s="19">
        <v>11.161099999999999</v>
      </c>
      <c r="F23" s="20" t="s">
        <v>12</v>
      </c>
      <c r="G23" s="87">
        <f t="shared" si="0"/>
        <v>0</v>
      </c>
      <c r="H23" s="19">
        <v>0</v>
      </c>
      <c r="I23" s="19" t="s">
        <v>2</v>
      </c>
      <c r="J23" s="88">
        <f t="shared" si="1"/>
        <v>0</v>
      </c>
    </row>
    <row r="24" spans="2:11" ht="15.75" x14ac:dyDescent="0.25">
      <c r="B24" s="16" t="s">
        <v>31</v>
      </c>
      <c r="C24" s="146"/>
      <c r="D24" s="18" t="s">
        <v>11</v>
      </c>
      <c r="E24" s="19">
        <v>12.6389</v>
      </c>
      <c r="F24" s="20" t="s">
        <v>12</v>
      </c>
      <c r="G24" s="87">
        <f t="shared" si="0"/>
        <v>0</v>
      </c>
      <c r="H24" s="19">
        <v>0.23400000000000001</v>
      </c>
      <c r="I24" s="19" t="s">
        <v>2</v>
      </c>
      <c r="J24" s="88">
        <f t="shared" si="1"/>
        <v>0</v>
      </c>
    </row>
    <row r="25" spans="2:11" ht="15.75" x14ac:dyDescent="0.25">
      <c r="B25" s="16" t="s">
        <v>28</v>
      </c>
      <c r="C25" s="146"/>
      <c r="D25" s="18" t="s">
        <v>11</v>
      </c>
      <c r="E25" s="19">
        <v>5.6971999999999996</v>
      </c>
      <c r="F25" s="20" t="s">
        <v>12</v>
      </c>
      <c r="G25" s="87">
        <f t="shared" si="0"/>
        <v>0</v>
      </c>
      <c r="H25" s="19">
        <v>0.4032</v>
      </c>
      <c r="I25" s="19" t="s">
        <v>2</v>
      </c>
      <c r="J25" s="88">
        <f t="shared" si="1"/>
        <v>0</v>
      </c>
    </row>
    <row r="26" spans="2:11" ht="26.25" x14ac:dyDescent="0.25">
      <c r="B26" s="16" t="s">
        <v>29</v>
      </c>
      <c r="C26" s="146"/>
      <c r="D26" s="18" t="s">
        <v>11</v>
      </c>
      <c r="E26" s="19">
        <v>7.0917000000000003</v>
      </c>
      <c r="F26" s="20" t="s">
        <v>12</v>
      </c>
      <c r="G26" s="87">
        <f t="shared" si="0"/>
        <v>0</v>
      </c>
      <c r="H26" s="19">
        <v>0</v>
      </c>
      <c r="I26" s="19" t="s">
        <v>2</v>
      </c>
      <c r="J26" s="88">
        <f t="shared" si="1"/>
        <v>0</v>
      </c>
    </row>
    <row r="27" spans="2:11" ht="16.5" thickBot="1" x14ac:dyDescent="0.3">
      <c r="B27" s="21"/>
      <c r="C27" s="147"/>
      <c r="D27" s="23"/>
      <c r="E27" s="24"/>
      <c r="F27" s="25"/>
      <c r="G27" s="93"/>
      <c r="H27" s="24"/>
      <c r="I27" s="24"/>
      <c r="J27" s="89">
        <f>SUM(J21:J26)</f>
        <v>376.61856768576001</v>
      </c>
    </row>
    <row r="28" spans="2:11" x14ac:dyDescent="0.2"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5.75" customHeight="1" x14ac:dyDescent="0.25">
      <c r="C29" s="269" t="s">
        <v>13</v>
      </c>
      <c r="D29" s="269"/>
      <c r="E29" s="269"/>
      <c r="F29" s="269"/>
      <c r="G29" s="26"/>
      <c r="H29" s="2" t="s">
        <v>81</v>
      </c>
      <c r="I29" s="26"/>
      <c r="J29" s="26"/>
      <c r="K29" s="26"/>
    </row>
    <row r="30" spans="2:11" ht="15.75" customHeight="1" thickBot="1" x14ac:dyDescent="0.3">
      <c r="C30" s="106"/>
      <c r="D30" s="106"/>
      <c r="E30" s="106"/>
      <c r="F30" s="106"/>
      <c r="G30" s="26"/>
      <c r="H30" s="2"/>
      <c r="I30" s="26"/>
      <c r="J30" s="26"/>
      <c r="K30" s="26"/>
    </row>
    <row r="31" spans="2:11" ht="39.75" customHeight="1" thickBot="1" x14ac:dyDescent="0.25">
      <c r="B31" s="27" t="s">
        <v>23</v>
      </c>
      <c r="C31" s="39" t="s">
        <v>20</v>
      </c>
      <c r="D31" s="42" t="s">
        <v>5</v>
      </c>
      <c r="E31" s="266" t="s">
        <v>6</v>
      </c>
      <c r="F31" s="271"/>
      <c r="G31" s="66" t="s">
        <v>85</v>
      </c>
      <c r="H31" s="26"/>
      <c r="I31" s="59"/>
      <c r="J31" s="60" t="s">
        <v>82</v>
      </c>
    </row>
    <row r="32" spans="2:11" ht="27" thickBot="1" x14ac:dyDescent="0.3">
      <c r="B32" s="28" t="s">
        <v>14</v>
      </c>
      <c r="C32" s="86"/>
      <c r="D32" s="29" t="s">
        <v>11</v>
      </c>
      <c r="E32" s="30">
        <v>3</v>
      </c>
      <c r="F32" s="14" t="s">
        <v>15</v>
      </c>
      <c r="G32" s="153">
        <f>C32*E32/1000</f>
        <v>0</v>
      </c>
      <c r="I32" s="11" t="s">
        <v>22</v>
      </c>
      <c r="J32" s="90">
        <v>1492893.5234675671</v>
      </c>
      <c r="K32" s="26"/>
    </row>
    <row r="33" spans="1:11" ht="26.25" customHeight="1" thickBot="1" x14ac:dyDescent="0.3">
      <c r="B33" s="32" t="s">
        <v>16</v>
      </c>
      <c r="C33" s="91"/>
      <c r="D33" s="33" t="s">
        <v>11</v>
      </c>
      <c r="E33" s="34">
        <v>1.8</v>
      </c>
      <c r="F33" s="19" t="s">
        <v>17</v>
      </c>
      <c r="G33" s="153">
        <f t="shared" ref="G33:G34" si="2">C33*E33/1000</f>
        <v>0</v>
      </c>
      <c r="I33" s="16" t="s">
        <v>8</v>
      </c>
      <c r="J33" s="90">
        <v>56873.86</v>
      </c>
      <c r="K33" s="26"/>
    </row>
    <row r="34" spans="1:11" ht="27" thickBot="1" x14ac:dyDescent="0.3">
      <c r="B34" s="35" t="s">
        <v>18</v>
      </c>
      <c r="C34" s="86">
        <v>61834</v>
      </c>
      <c r="D34" s="36" t="s">
        <v>24</v>
      </c>
      <c r="E34" s="37">
        <v>0.78800000000000003</v>
      </c>
      <c r="F34" s="24" t="s">
        <v>19</v>
      </c>
      <c r="G34" s="153">
        <f t="shared" si="2"/>
        <v>48.725192</v>
      </c>
      <c r="I34" s="16" t="s">
        <v>26</v>
      </c>
      <c r="J34" s="90">
        <v>48802</v>
      </c>
    </row>
    <row r="35" spans="1:11" ht="25.5" x14ac:dyDescent="0.2">
      <c r="I35" s="16" t="s">
        <v>30</v>
      </c>
      <c r="J35" s="83"/>
    </row>
    <row r="36" spans="1:11" x14ac:dyDescent="0.2">
      <c r="I36" s="84" t="s">
        <v>76</v>
      </c>
      <c r="J36" s="152">
        <f>SUM(J32:J35)</f>
        <v>1598569.3834675672</v>
      </c>
    </row>
    <row r="37" spans="1:11" x14ac:dyDescent="0.2">
      <c r="I37" s="85" t="s">
        <v>18</v>
      </c>
      <c r="J37" s="90">
        <v>116206.77416976994</v>
      </c>
    </row>
    <row r="39" spans="1:11" ht="23.25" x14ac:dyDescent="0.35">
      <c r="A39" s="101" t="s">
        <v>105</v>
      </c>
    </row>
    <row r="40" spans="1:11" ht="14.25" x14ac:dyDescent="0.2">
      <c r="B40" s="38"/>
      <c r="C40" s="38"/>
      <c r="D40" s="38"/>
      <c r="E40" s="38"/>
      <c r="F40" s="38"/>
    </row>
    <row r="41" spans="1:11" ht="15.75" x14ac:dyDescent="0.25">
      <c r="C41" s="2" t="s">
        <v>32</v>
      </c>
      <c r="D41" s="2"/>
    </row>
    <row r="42" spans="1:11" ht="13.5" thickBot="1" x14ac:dyDescent="0.25"/>
    <row r="43" spans="1:11" ht="27" customHeight="1" thickBot="1" x14ac:dyDescent="0.25">
      <c r="C43" s="43" t="s">
        <v>20</v>
      </c>
      <c r="D43" s="42" t="s">
        <v>5</v>
      </c>
      <c r="E43" s="270" t="s">
        <v>34</v>
      </c>
      <c r="F43" s="270"/>
      <c r="G43" s="41" t="s">
        <v>35</v>
      </c>
    </row>
    <row r="44" spans="1:11" s="46" customFormat="1" ht="26.25" thickBot="1" x14ac:dyDescent="0.3">
      <c r="B44" s="50" t="s">
        <v>22</v>
      </c>
      <c r="C44" s="148">
        <f>$C$15</f>
        <v>9449872</v>
      </c>
      <c r="D44" s="51" t="s">
        <v>21</v>
      </c>
      <c r="E44" s="52">
        <v>2.403</v>
      </c>
      <c r="F44" s="53" t="s">
        <v>33</v>
      </c>
      <c r="G44" s="54">
        <f>C44*E44</f>
        <v>22708042.416000001</v>
      </c>
    </row>
    <row r="46" spans="1:11" ht="15.75" x14ac:dyDescent="0.25">
      <c r="C46" s="269"/>
      <c r="D46" s="269"/>
    </row>
    <row r="47" spans="1:11" ht="13.5" thickBot="1" x14ac:dyDescent="0.25"/>
    <row r="48" spans="1:11" ht="30.75" customHeight="1" thickBot="1" x14ac:dyDescent="0.25">
      <c r="B48" s="7" t="s">
        <v>4</v>
      </c>
      <c r="C48" s="8" t="s">
        <v>20</v>
      </c>
      <c r="D48" s="40" t="s">
        <v>5</v>
      </c>
      <c r="E48" s="274" t="s">
        <v>7</v>
      </c>
      <c r="F48" s="275"/>
      <c r="G48" s="10" t="s">
        <v>21</v>
      </c>
      <c r="H48" s="276" t="s">
        <v>34</v>
      </c>
      <c r="I48" s="276"/>
      <c r="J48" s="41" t="s">
        <v>35</v>
      </c>
    </row>
    <row r="49" spans="1:11" ht="27" thickBot="1" x14ac:dyDescent="0.3">
      <c r="B49" s="11" t="s">
        <v>8</v>
      </c>
      <c r="C49" s="145">
        <f t="shared" ref="C49:C54" si="3">C21</f>
        <v>102706</v>
      </c>
      <c r="D49" s="13" t="s">
        <v>24</v>
      </c>
      <c r="E49" s="14">
        <v>10.7056</v>
      </c>
      <c r="F49" s="15" t="s">
        <v>27</v>
      </c>
      <c r="G49" s="87">
        <f>C49*E49</f>
        <v>1099529.3536</v>
      </c>
      <c r="H49" s="14">
        <v>1.1950000000000001</v>
      </c>
      <c r="I49" s="6" t="s">
        <v>33</v>
      </c>
      <c r="J49" s="88">
        <f>G49*H49</f>
        <v>1313937.5775520001</v>
      </c>
    </row>
    <row r="50" spans="1:11" ht="27" thickBot="1" x14ac:dyDescent="0.3">
      <c r="B50" s="16" t="s">
        <v>26</v>
      </c>
      <c r="C50" s="146">
        <f t="shared" si="3"/>
        <v>55625</v>
      </c>
      <c r="D50" s="18" t="s">
        <v>9</v>
      </c>
      <c r="E50" s="19">
        <v>10.6</v>
      </c>
      <c r="F50" s="20" t="s">
        <v>10</v>
      </c>
      <c r="G50" s="87">
        <f t="shared" ref="G50:G54" si="4">C50*E50</f>
        <v>589625</v>
      </c>
      <c r="H50" s="19">
        <v>1.1819999999999999</v>
      </c>
      <c r="I50" s="6" t="s">
        <v>33</v>
      </c>
      <c r="J50" s="88">
        <f t="shared" ref="J50:J54" si="5">G50*H50</f>
        <v>696936.75</v>
      </c>
    </row>
    <row r="51" spans="1:11" ht="39.75" thickBot="1" x14ac:dyDescent="0.3">
      <c r="B51" s="16" t="s">
        <v>30</v>
      </c>
      <c r="C51" s="146">
        <f t="shared" si="3"/>
        <v>0</v>
      </c>
      <c r="D51" s="18" t="s">
        <v>11</v>
      </c>
      <c r="E51" s="19">
        <v>11.161099999999999</v>
      </c>
      <c r="F51" s="20" t="s">
        <v>12</v>
      </c>
      <c r="G51" s="87">
        <f t="shared" si="4"/>
        <v>0</v>
      </c>
      <c r="H51" s="19">
        <v>1.113</v>
      </c>
      <c r="I51" s="6" t="s">
        <v>33</v>
      </c>
      <c r="J51" s="88">
        <f t="shared" si="5"/>
        <v>0</v>
      </c>
    </row>
    <row r="52" spans="1:11" ht="27" thickBot="1" x14ac:dyDescent="0.3">
      <c r="B52" s="16" t="s">
        <v>31</v>
      </c>
      <c r="C52" s="146">
        <f t="shared" si="3"/>
        <v>0</v>
      </c>
      <c r="D52" s="18" t="s">
        <v>11</v>
      </c>
      <c r="E52" s="19">
        <v>12.6389</v>
      </c>
      <c r="F52" s="20" t="s">
        <v>12</v>
      </c>
      <c r="G52" s="87">
        <f t="shared" si="4"/>
        <v>0</v>
      </c>
      <c r="H52" s="19">
        <v>1.204</v>
      </c>
      <c r="I52" s="6" t="s">
        <v>33</v>
      </c>
      <c r="J52" s="88">
        <f t="shared" si="5"/>
        <v>0</v>
      </c>
    </row>
    <row r="53" spans="1:11" ht="27" thickBot="1" x14ac:dyDescent="0.3">
      <c r="B53" s="16" t="s">
        <v>28</v>
      </c>
      <c r="C53" s="146">
        <f t="shared" si="3"/>
        <v>0</v>
      </c>
      <c r="D53" s="18" t="s">
        <v>11</v>
      </c>
      <c r="E53" s="19">
        <v>5.6971999999999996</v>
      </c>
      <c r="F53" s="20" t="s">
        <v>12</v>
      </c>
      <c r="G53" s="87">
        <f t="shared" si="4"/>
        <v>0</v>
      </c>
      <c r="H53" s="19">
        <v>1.0840000000000001</v>
      </c>
      <c r="I53" s="6" t="s">
        <v>33</v>
      </c>
      <c r="J53" s="88">
        <f t="shared" si="5"/>
        <v>0</v>
      </c>
    </row>
    <row r="54" spans="1:11" ht="27" thickBot="1" x14ac:dyDescent="0.3">
      <c r="B54" s="16" t="s">
        <v>29</v>
      </c>
      <c r="C54" s="146">
        <f t="shared" si="3"/>
        <v>0</v>
      </c>
      <c r="D54" s="18" t="s">
        <v>11</v>
      </c>
      <c r="E54" s="19">
        <v>7.0917000000000003</v>
      </c>
      <c r="F54" s="20" t="s">
        <v>12</v>
      </c>
      <c r="G54" s="87">
        <f t="shared" si="4"/>
        <v>0</v>
      </c>
      <c r="H54" s="19">
        <v>1.0369999999999999</v>
      </c>
      <c r="I54" s="6" t="s">
        <v>33</v>
      </c>
      <c r="J54" s="88">
        <f t="shared" si="5"/>
        <v>0</v>
      </c>
    </row>
    <row r="55" spans="1:11" ht="16.5" thickBot="1" x14ac:dyDescent="0.3">
      <c r="B55" s="21"/>
      <c r="C55" s="147"/>
      <c r="D55" s="23"/>
      <c r="E55" s="24"/>
      <c r="F55" s="25"/>
      <c r="G55" s="93">
        <f>SUM(G49:G54)</f>
        <v>1689154.3536</v>
      </c>
      <c r="H55" s="24"/>
      <c r="I55" s="24"/>
      <c r="J55" s="89">
        <f>SUM(J49:J54)</f>
        <v>2010874.3275520001</v>
      </c>
    </row>
    <row r="56" spans="1:11" x14ac:dyDescent="0.2">
      <c r="C56" s="26"/>
      <c r="D56" s="26"/>
      <c r="E56" s="26"/>
      <c r="F56" s="26"/>
      <c r="G56" s="26"/>
      <c r="H56" s="26"/>
      <c r="I56" s="26"/>
      <c r="J56" s="26"/>
      <c r="K56" s="26"/>
    </row>
    <row r="57" spans="1:11" ht="18.75" x14ac:dyDescent="0.3">
      <c r="A57" s="100" t="s">
        <v>136</v>
      </c>
      <c r="H57" s="26"/>
      <c r="I57" s="26"/>
      <c r="J57" s="26"/>
      <c r="K57" s="26"/>
    </row>
    <row r="58" spans="1:11" ht="15.75" x14ac:dyDescent="0.25">
      <c r="C58" s="2" t="s">
        <v>0</v>
      </c>
      <c r="D58" s="2"/>
      <c r="H58" s="26"/>
      <c r="I58" s="26"/>
      <c r="J58" s="26"/>
      <c r="K58" s="26"/>
    </row>
    <row r="59" spans="1:11" ht="13.5" thickBot="1" x14ac:dyDescent="0.25">
      <c r="H59" s="26"/>
      <c r="I59" s="26"/>
      <c r="J59" s="26"/>
      <c r="K59" s="26"/>
    </row>
    <row r="60" spans="1:11" ht="31.5" customHeight="1" thickBot="1" x14ac:dyDescent="0.25">
      <c r="A60" s="65"/>
      <c r="B60" s="65"/>
      <c r="C60" s="43" t="s">
        <v>107</v>
      </c>
      <c r="D60" s="42" t="s">
        <v>5</v>
      </c>
      <c r="E60" s="270" t="s">
        <v>134</v>
      </c>
      <c r="F60" s="270"/>
      <c r="G60" s="66" t="s">
        <v>182</v>
      </c>
      <c r="H60" s="26"/>
      <c r="I60" s="26"/>
      <c r="J60" s="26"/>
      <c r="K60" s="26"/>
    </row>
    <row r="61" spans="1:11" ht="16.5" thickBot="1" x14ac:dyDescent="0.3">
      <c r="B61" s="278" t="s">
        <v>22</v>
      </c>
      <c r="C61" s="281">
        <v>122825</v>
      </c>
      <c r="D61" s="284" t="s">
        <v>21</v>
      </c>
      <c r="E61" s="5">
        <v>0.35699999999999998</v>
      </c>
      <c r="F61" s="6" t="s">
        <v>2</v>
      </c>
      <c r="G61" s="109">
        <f>-(C61*E61/1000)</f>
        <v>-43.848525000000002</v>
      </c>
      <c r="H61" s="26"/>
      <c r="I61" s="26"/>
      <c r="J61" s="26"/>
      <c r="K61" s="26"/>
    </row>
    <row r="62" spans="1:11" ht="16.5" thickBot="1" x14ac:dyDescent="0.3">
      <c r="B62" s="279"/>
      <c r="C62" s="282"/>
      <c r="D62" s="285"/>
      <c r="E62" s="5">
        <v>0.36659999999999998</v>
      </c>
      <c r="F62" s="6" t="s">
        <v>133</v>
      </c>
      <c r="G62" s="110">
        <f>-(C61*E62/1000)/1000</f>
        <v>-4.5027644999999998E-2</v>
      </c>
      <c r="H62" s="26"/>
      <c r="I62" s="26"/>
      <c r="J62" s="26"/>
      <c r="K62" s="26"/>
    </row>
    <row r="63" spans="1:11" ht="16.5" thickBot="1" x14ac:dyDescent="0.3">
      <c r="B63" s="280"/>
      <c r="C63" s="283"/>
      <c r="D63" s="286"/>
      <c r="E63" s="5">
        <v>0.26100000000000001</v>
      </c>
      <c r="F63" s="6" t="s">
        <v>137</v>
      </c>
      <c r="G63" s="110">
        <f>-(C61*E63/1000)/1000</f>
        <v>-3.2057324999999998E-2</v>
      </c>
      <c r="H63" s="26"/>
      <c r="I63" s="26"/>
      <c r="J63" s="26"/>
      <c r="K63" s="26"/>
    </row>
    <row r="64" spans="1:11" x14ac:dyDescent="0.2">
      <c r="C64" s="26"/>
      <c r="D64" s="26"/>
      <c r="E64" s="26"/>
      <c r="F64" s="26"/>
      <c r="G64" s="26" t="s">
        <v>106</v>
      </c>
      <c r="H64" s="26"/>
      <c r="I64" s="26"/>
      <c r="J64" s="26"/>
      <c r="K64" s="26"/>
    </row>
    <row r="65" spans="1:19" ht="23.25" x14ac:dyDescent="0.35">
      <c r="A65" s="101" t="s">
        <v>152</v>
      </c>
      <c r="C65" s="26"/>
      <c r="D65" s="26"/>
      <c r="E65" s="26"/>
      <c r="F65" s="26"/>
      <c r="G65" s="26"/>
      <c r="H65" s="26"/>
      <c r="I65" s="26"/>
      <c r="J65" s="26"/>
      <c r="K65" s="26"/>
    </row>
    <row r="66" spans="1:19" ht="15.75" x14ac:dyDescent="0.25">
      <c r="B66" s="2" t="s">
        <v>130</v>
      </c>
      <c r="C66" s="26"/>
      <c r="D66" s="26"/>
      <c r="E66" s="26"/>
      <c r="F66" s="26"/>
      <c r="G66" s="26"/>
      <c r="H66" s="26"/>
      <c r="I66" s="26"/>
      <c r="J66" s="26"/>
      <c r="K66" s="26"/>
    </row>
    <row r="67" spans="1:19" ht="25.5" x14ac:dyDescent="0.2">
      <c r="A67" s="135" t="s">
        <v>146</v>
      </c>
      <c r="B67" s="136" t="s">
        <v>36</v>
      </c>
      <c r="C67" s="137"/>
      <c r="D67" s="74">
        <f>G44+J55</f>
        <v>24718916.743551999</v>
      </c>
      <c r="E67" s="82" t="s">
        <v>21</v>
      </c>
      <c r="F67" s="67" t="s">
        <v>45</v>
      </c>
      <c r="G67" s="57">
        <v>156580.21</v>
      </c>
      <c r="H67" s="44" t="s">
        <v>75</v>
      </c>
      <c r="I67" s="26"/>
      <c r="P67" s="272" t="s">
        <v>58</v>
      </c>
      <c r="Q67" s="272"/>
      <c r="R67" s="272"/>
      <c r="S67" s="75" t="s">
        <v>80</v>
      </c>
    </row>
    <row r="68" spans="1:19" ht="25.5" x14ac:dyDescent="0.2">
      <c r="A68" s="135" t="s">
        <v>147</v>
      </c>
      <c r="B68" s="136" t="s">
        <v>37</v>
      </c>
      <c r="C68" s="138"/>
      <c r="D68" s="74">
        <f>C44+G55</f>
        <v>11139026.353599999</v>
      </c>
      <c r="E68" s="77" t="s">
        <v>21</v>
      </c>
      <c r="F68" s="67" t="s">
        <v>41</v>
      </c>
      <c r="G68" s="78">
        <f>$F$78</f>
        <v>1606</v>
      </c>
      <c r="P68" s="68" t="s">
        <v>59</v>
      </c>
      <c r="Q68" s="47" t="s">
        <v>43</v>
      </c>
      <c r="R68" s="69">
        <v>3425</v>
      </c>
      <c r="S68" s="76" t="e">
        <f>(R68-#REF!)/#REF!</f>
        <v>#REF!</v>
      </c>
    </row>
    <row r="69" spans="1:19" ht="25.5" x14ac:dyDescent="0.2">
      <c r="A69" s="135" t="s">
        <v>148</v>
      </c>
      <c r="B69" s="136" t="s">
        <v>38</v>
      </c>
      <c r="C69" s="138"/>
      <c r="D69" s="74">
        <f>G15+J27</f>
        <v>4014.8192876857602</v>
      </c>
      <c r="E69" s="77" t="s">
        <v>88</v>
      </c>
      <c r="F69" s="67" t="s">
        <v>42</v>
      </c>
      <c r="G69" s="78">
        <f>$C$79</f>
        <v>17326</v>
      </c>
      <c r="P69" s="70" t="s">
        <v>60</v>
      </c>
      <c r="Q69" s="47" t="s">
        <v>61</v>
      </c>
      <c r="R69" s="71">
        <v>68</v>
      </c>
      <c r="S69" s="76" t="e">
        <f>(R69-#REF!)/#REF!</f>
        <v>#REF!</v>
      </c>
    </row>
    <row r="70" spans="1:19" ht="38.25" x14ac:dyDescent="0.2">
      <c r="A70" s="135" t="s">
        <v>149</v>
      </c>
      <c r="B70" s="136" t="s">
        <v>39</v>
      </c>
      <c r="C70" s="138"/>
      <c r="D70" s="74">
        <f>D68*0.366/1000</f>
        <v>4076.8836454175994</v>
      </c>
      <c r="E70" s="77" t="s">
        <v>89</v>
      </c>
      <c r="F70" s="140" t="s">
        <v>169</v>
      </c>
      <c r="G70" s="80">
        <f>G68+G69</f>
        <v>18932</v>
      </c>
      <c r="P70" s="47"/>
      <c r="Q70" s="47" t="s">
        <v>62</v>
      </c>
      <c r="R70" s="71">
        <v>1757</v>
      </c>
      <c r="S70" s="76" t="e">
        <f>(R70-#REF!)/#REF!</f>
        <v>#REF!</v>
      </c>
    </row>
    <row r="71" spans="1:19" ht="15" x14ac:dyDescent="0.2">
      <c r="A71" s="135" t="s">
        <v>150</v>
      </c>
      <c r="B71" s="136" t="s">
        <v>40</v>
      </c>
      <c r="C71" s="138"/>
      <c r="D71" s="74">
        <f>D68*0.261/1000</f>
        <v>2907.2858782896001</v>
      </c>
      <c r="E71" s="77" t="s">
        <v>89</v>
      </c>
      <c r="F71" s="72"/>
      <c r="G71" s="72"/>
    </row>
    <row r="72" spans="1:19" ht="27.75" customHeight="1" x14ac:dyDescent="0.25">
      <c r="A72" s="135" t="s">
        <v>151</v>
      </c>
      <c r="B72" s="273" t="s">
        <v>138</v>
      </c>
      <c r="C72" s="273"/>
      <c r="D72" s="74">
        <v>116572</v>
      </c>
      <c r="E72" s="67" t="s">
        <v>21</v>
      </c>
      <c r="F72"/>
      <c r="G72"/>
      <c r="H72"/>
      <c r="I72"/>
      <c r="J72"/>
    </row>
    <row r="73" spans="1:19" ht="15.75" x14ac:dyDescent="0.2">
      <c r="A73" s="108"/>
      <c r="B73" s="107"/>
      <c r="D73" s="74"/>
      <c r="E73" s="67"/>
    </row>
    <row r="74" spans="1:19" ht="22.5" x14ac:dyDescent="0.2">
      <c r="B74" s="287" t="s">
        <v>50</v>
      </c>
      <c r="C74" s="287"/>
      <c r="D74" s="75" t="s">
        <v>153</v>
      </c>
      <c r="E74" s="288" t="s">
        <v>54</v>
      </c>
      <c r="F74" s="288"/>
      <c r="G74" s="75" t="s">
        <v>153</v>
      </c>
    </row>
    <row r="75" spans="1:19" x14ac:dyDescent="0.2">
      <c r="B75" s="47" t="s">
        <v>179</v>
      </c>
      <c r="C75" s="56">
        <v>15766</v>
      </c>
      <c r="D75" s="160"/>
      <c r="E75" s="47" t="s">
        <v>55</v>
      </c>
      <c r="F75" s="56">
        <v>1030</v>
      </c>
      <c r="G75" s="160"/>
      <c r="K75" s="56"/>
    </row>
    <row r="76" spans="1:19" x14ac:dyDescent="0.2">
      <c r="B76" s="47" t="s">
        <v>51</v>
      </c>
      <c r="C76" s="56">
        <v>625</v>
      </c>
      <c r="D76" s="160"/>
      <c r="E76" s="47" t="s">
        <v>57</v>
      </c>
      <c r="F76" s="56">
        <v>83</v>
      </c>
      <c r="G76" s="160"/>
    </row>
    <row r="77" spans="1:19" x14ac:dyDescent="0.2">
      <c r="B77" s="47" t="s">
        <v>52</v>
      </c>
      <c r="C77" s="56">
        <v>935</v>
      </c>
      <c r="D77" s="160"/>
      <c r="E77" s="47" t="s">
        <v>56</v>
      </c>
      <c r="F77" s="56">
        <v>493</v>
      </c>
      <c r="G77" s="160"/>
    </row>
    <row r="78" spans="1:19" x14ac:dyDescent="0.2">
      <c r="B78" s="47" t="s">
        <v>53</v>
      </c>
      <c r="C78" s="78"/>
      <c r="D78" s="160"/>
      <c r="E78" s="79" t="s">
        <v>76</v>
      </c>
      <c r="F78" s="80">
        <f>SUM(F75:F77)</f>
        <v>1606</v>
      </c>
      <c r="G78" s="160"/>
    </row>
    <row r="79" spans="1:19" x14ac:dyDescent="0.2">
      <c r="B79" s="79" t="s">
        <v>76</v>
      </c>
      <c r="C79" s="80">
        <f>SUM(C75:C78)</f>
        <v>17326</v>
      </c>
      <c r="D79" s="160"/>
      <c r="G79" s="76"/>
    </row>
    <row r="80" spans="1:19" ht="13.5" customHeight="1" x14ac:dyDescent="0.2"/>
    <row r="81" spans="2:7" ht="13.5" customHeight="1" x14ac:dyDescent="0.2">
      <c r="B81" s="79"/>
      <c r="C81" s="80"/>
      <c r="D81" s="76"/>
    </row>
    <row r="82" spans="2:7" ht="13.5" customHeight="1" x14ac:dyDescent="0.25">
      <c r="B82" s="2" t="s">
        <v>131</v>
      </c>
      <c r="C82" s="80"/>
      <c r="D82" s="76"/>
    </row>
    <row r="83" spans="2:7" ht="13.5" customHeight="1" x14ac:dyDescent="0.25">
      <c r="B83" s="2"/>
      <c r="C83" s="80"/>
      <c r="D83" s="76"/>
    </row>
    <row r="84" spans="2:7" ht="30.75" thickBot="1" x14ac:dyDescent="0.35">
      <c r="B84" s="139" t="s">
        <v>154</v>
      </c>
      <c r="C84" s="96" t="s">
        <v>44</v>
      </c>
      <c r="D84" s="96"/>
      <c r="E84" s="96"/>
      <c r="F84" s="96"/>
      <c r="G84" s="81" t="s">
        <v>153</v>
      </c>
    </row>
    <row r="85" spans="2:7" ht="30.75" customHeight="1" thickTop="1" x14ac:dyDescent="0.2">
      <c r="B85" s="123" t="s">
        <v>44</v>
      </c>
      <c r="C85" s="277" t="s">
        <v>78</v>
      </c>
      <c r="D85" s="277"/>
      <c r="E85" s="121">
        <f>IF(D68=0,0,D68/$G$67)</f>
        <v>71.139426582707998</v>
      </c>
      <c r="F85" s="114" t="s">
        <v>70</v>
      </c>
      <c r="G85" s="160"/>
    </row>
    <row r="86" spans="2:7" ht="15.75" customHeight="1" thickBot="1" x14ac:dyDescent="0.3">
      <c r="B86" s="122"/>
      <c r="C86" s="96" t="s">
        <v>46</v>
      </c>
      <c r="D86" s="96"/>
      <c r="E86" s="96"/>
      <c r="F86" s="96"/>
      <c r="G86" s="142"/>
    </row>
    <row r="87" spans="2:7" ht="26.25" customHeight="1" thickTop="1" x14ac:dyDescent="0.2">
      <c r="B87" s="124" t="s">
        <v>46</v>
      </c>
      <c r="C87" s="277" t="s">
        <v>79</v>
      </c>
      <c r="D87" s="277"/>
      <c r="E87" s="121">
        <f>IF(D67=0,0,D67/$G$67)</f>
        <v>157.86743895382438</v>
      </c>
      <c r="F87" s="114" t="s">
        <v>70</v>
      </c>
      <c r="G87" s="160"/>
    </row>
    <row r="88" spans="2:7" ht="15.75" customHeight="1" thickBot="1" x14ac:dyDescent="0.3">
      <c r="B88" s="97"/>
      <c r="C88" s="96" t="s">
        <v>47</v>
      </c>
      <c r="D88" s="96"/>
      <c r="E88" s="96"/>
      <c r="F88" s="96"/>
      <c r="G88" s="142"/>
    </row>
    <row r="89" spans="2:7" ht="30.75" customHeight="1" thickTop="1" x14ac:dyDescent="0.2">
      <c r="B89" s="125" t="s">
        <v>108</v>
      </c>
      <c r="C89" s="277" t="s">
        <v>156</v>
      </c>
      <c r="D89" s="277"/>
      <c r="E89" s="120">
        <f>IF(D68=0,0,D68/F78)</f>
        <v>6935.8819138231629</v>
      </c>
      <c r="F89" s="114" t="s">
        <v>165</v>
      </c>
      <c r="G89" s="160"/>
    </row>
    <row r="90" spans="2:7" ht="26.25" customHeight="1" x14ac:dyDescent="0.2">
      <c r="B90" s="126" t="s">
        <v>109</v>
      </c>
      <c r="C90" s="277" t="s">
        <v>157</v>
      </c>
      <c r="D90" s="277"/>
      <c r="E90" s="121">
        <f>IF(D68=0,0,D68/G70)</f>
        <v>588.37029123177683</v>
      </c>
      <c r="F90" s="114" t="s">
        <v>101</v>
      </c>
      <c r="G90" s="141"/>
    </row>
    <row r="91" spans="2:7" ht="15.75" thickBot="1" x14ac:dyDescent="0.3">
      <c r="B91" s="97"/>
      <c r="C91" s="96" t="s">
        <v>90</v>
      </c>
      <c r="D91" s="96"/>
      <c r="E91" s="96"/>
      <c r="F91" s="96"/>
      <c r="G91" s="142"/>
    </row>
    <row r="92" spans="2:7" ht="30.75" customHeight="1" thickTop="1" x14ac:dyDescent="0.2">
      <c r="B92" s="127" t="s">
        <v>90</v>
      </c>
      <c r="C92" s="289" t="s">
        <v>72</v>
      </c>
      <c r="D92" s="289"/>
      <c r="E92" s="116">
        <f>IF(D69=0,0,D69/$G$67)</f>
        <v>2.5640655914855141E-2</v>
      </c>
      <c r="F92" s="117" t="s">
        <v>87</v>
      </c>
      <c r="G92" s="160"/>
    </row>
    <row r="93" spans="2:7" ht="25.5" customHeight="1" thickBot="1" x14ac:dyDescent="0.3">
      <c r="B93" s="122"/>
      <c r="C93" s="96" t="s">
        <v>91</v>
      </c>
      <c r="D93" s="96"/>
      <c r="E93" s="96"/>
      <c r="F93" s="96"/>
      <c r="G93" s="142"/>
    </row>
    <row r="94" spans="2:7" ht="15.75" customHeight="1" thickTop="1" x14ac:dyDescent="0.2">
      <c r="B94" s="127" t="s">
        <v>91</v>
      </c>
      <c r="C94" s="289" t="s">
        <v>73</v>
      </c>
      <c r="D94" s="289"/>
      <c r="E94" s="116">
        <f>IF(D70=0,0,D70/$G$67)</f>
        <v>2.6037030129271124E-2</v>
      </c>
      <c r="F94" s="117" t="s">
        <v>71</v>
      </c>
      <c r="G94" s="160"/>
    </row>
    <row r="95" spans="2:7" ht="13.5" customHeight="1" thickBot="1" x14ac:dyDescent="0.3">
      <c r="B95" s="122"/>
      <c r="C95" s="96" t="s">
        <v>92</v>
      </c>
      <c r="D95" s="96"/>
      <c r="E95" s="96"/>
      <c r="F95" s="96"/>
      <c r="G95" s="142"/>
    </row>
    <row r="96" spans="2:7" ht="29.25" customHeight="1" thickTop="1" x14ac:dyDescent="0.2">
      <c r="B96" s="127" t="s">
        <v>92</v>
      </c>
      <c r="C96" s="289" t="s">
        <v>74</v>
      </c>
      <c r="D96" s="289"/>
      <c r="E96" s="116">
        <f>IF(D71=0,0,D71/$G$67)</f>
        <v>1.8567390338086787E-2</v>
      </c>
      <c r="F96" s="117" t="s">
        <v>71</v>
      </c>
      <c r="G96" s="160"/>
    </row>
    <row r="97" spans="2:8" ht="15.75" thickBot="1" x14ac:dyDescent="0.3">
      <c r="B97" s="122"/>
      <c r="C97" s="96" t="s">
        <v>93</v>
      </c>
      <c r="D97" s="96"/>
      <c r="E97" s="96"/>
      <c r="F97" s="96"/>
      <c r="G97" s="142"/>
    </row>
    <row r="98" spans="2:8" ht="13.5" customHeight="1" thickTop="1" x14ac:dyDescent="0.2">
      <c r="B98" s="128" t="s">
        <v>110</v>
      </c>
      <c r="C98" s="289" t="s">
        <v>158</v>
      </c>
      <c r="D98" s="289"/>
      <c r="E98" s="116">
        <f>IF(D69=0,0,D69/$F$78)</f>
        <v>2.4998874767657284</v>
      </c>
      <c r="F98" s="117" t="s">
        <v>166</v>
      </c>
      <c r="G98" s="160"/>
      <c r="H98" s="99"/>
    </row>
    <row r="99" spans="2:8" ht="28.5" customHeight="1" x14ac:dyDescent="0.2">
      <c r="B99" s="129" t="s">
        <v>111</v>
      </c>
      <c r="C99" s="289" t="s">
        <v>159</v>
      </c>
      <c r="D99" s="289"/>
      <c r="E99" s="116">
        <f>D69/$G$70</f>
        <v>0.21206524866288612</v>
      </c>
      <c r="F99" s="117" t="s">
        <v>86</v>
      </c>
      <c r="G99" s="141"/>
      <c r="H99" s="95"/>
    </row>
    <row r="100" spans="2:8" ht="15.75" thickBot="1" x14ac:dyDescent="0.3">
      <c r="B100" s="122"/>
      <c r="C100" s="96" t="s">
        <v>94</v>
      </c>
      <c r="D100" s="96"/>
      <c r="E100" s="96"/>
      <c r="F100" s="96"/>
      <c r="G100" s="142"/>
    </row>
    <row r="101" spans="2:8" ht="13.5" customHeight="1" thickTop="1" x14ac:dyDescent="0.2">
      <c r="B101" s="128" t="s">
        <v>112</v>
      </c>
      <c r="C101" s="289" t="s">
        <v>160</v>
      </c>
      <c r="D101" s="289"/>
      <c r="E101" s="116">
        <f>IF(D70=0,0,D70/$F$78)</f>
        <v>2.5385327804592772</v>
      </c>
      <c r="F101" s="117" t="s">
        <v>167</v>
      </c>
      <c r="G101" s="160"/>
    </row>
    <row r="102" spans="2:8" ht="26.25" customHeight="1" x14ac:dyDescent="0.2">
      <c r="B102" s="129" t="s">
        <v>113</v>
      </c>
      <c r="C102" s="289" t="s">
        <v>164</v>
      </c>
      <c r="D102" s="289"/>
      <c r="E102" s="116">
        <f>D70/$G$70</f>
        <v>0.21534352659083031</v>
      </c>
      <c r="F102" s="117" t="s">
        <v>77</v>
      </c>
      <c r="G102" s="141"/>
    </row>
    <row r="103" spans="2:8" ht="13.5" customHeight="1" thickBot="1" x14ac:dyDescent="0.3">
      <c r="B103" s="122"/>
      <c r="C103" s="96" t="s">
        <v>95</v>
      </c>
      <c r="D103" s="96"/>
      <c r="E103" s="96"/>
      <c r="F103" s="96"/>
      <c r="G103" s="142"/>
    </row>
    <row r="104" spans="2:8" ht="33.75" customHeight="1" thickTop="1" x14ac:dyDescent="0.2">
      <c r="B104" s="128" t="s">
        <v>114</v>
      </c>
      <c r="C104" s="289" t="s">
        <v>161</v>
      </c>
      <c r="D104" s="289"/>
      <c r="E104" s="116">
        <f>IF(D71=0,0,D71/$F$78)</f>
        <v>1.8102651795078457</v>
      </c>
      <c r="F104" s="117" t="s">
        <v>167</v>
      </c>
      <c r="G104" s="160"/>
    </row>
    <row r="105" spans="2:8" ht="29.25" customHeight="1" x14ac:dyDescent="0.2">
      <c r="B105" s="129" t="s">
        <v>115</v>
      </c>
      <c r="C105" s="289" t="s">
        <v>162</v>
      </c>
      <c r="D105" s="289"/>
      <c r="E105" s="116">
        <f>D71/G70</f>
        <v>0.15356464601149378</v>
      </c>
      <c r="F105" s="117" t="s">
        <v>77</v>
      </c>
      <c r="G105" s="143"/>
    </row>
    <row r="106" spans="2:8" ht="15.75" thickBot="1" x14ac:dyDescent="0.3">
      <c r="B106" s="122"/>
      <c r="C106" s="96" t="s">
        <v>96</v>
      </c>
      <c r="D106" s="96"/>
      <c r="E106" s="96"/>
      <c r="F106" s="96"/>
      <c r="G106" s="142"/>
    </row>
    <row r="107" spans="2:8" ht="30" customHeight="1" thickTop="1" x14ac:dyDescent="0.2">
      <c r="B107" s="124" t="s">
        <v>96</v>
      </c>
      <c r="C107" s="277" t="s">
        <v>99</v>
      </c>
      <c r="D107" s="277"/>
      <c r="E107" s="113">
        <f>IF(C34=0,0,C34/G67)*1000</f>
        <v>394.90303404242468</v>
      </c>
      <c r="F107" s="114" t="s">
        <v>100</v>
      </c>
      <c r="G107" s="160"/>
    </row>
    <row r="108" spans="2:8" ht="15.75" thickBot="1" x14ac:dyDescent="0.3">
      <c r="B108" s="122"/>
      <c r="C108" s="96" t="s">
        <v>97</v>
      </c>
      <c r="D108" s="96"/>
      <c r="E108" s="96"/>
      <c r="F108" s="96"/>
      <c r="G108" s="142"/>
    </row>
    <row r="109" spans="2:8" ht="15.75" thickTop="1" x14ac:dyDescent="0.2">
      <c r="B109" s="125" t="s">
        <v>142</v>
      </c>
      <c r="C109" s="277" t="s">
        <v>155</v>
      </c>
      <c r="D109" s="277"/>
      <c r="E109" s="113">
        <f>C34/F78</f>
        <v>38.501867995018678</v>
      </c>
      <c r="F109" s="114" t="s">
        <v>170</v>
      </c>
      <c r="G109" s="160"/>
    </row>
    <row r="110" spans="2:8" ht="33" customHeight="1" x14ac:dyDescent="0.2">
      <c r="B110" s="126" t="s">
        <v>143</v>
      </c>
      <c r="C110" s="277" t="s">
        <v>163</v>
      </c>
      <c r="D110" s="277"/>
      <c r="E110" s="113">
        <f>C34/G70</f>
        <v>3.266110289457004</v>
      </c>
      <c r="F110" s="114" t="s">
        <v>183</v>
      </c>
      <c r="G110" s="144"/>
    </row>
    <row r="111" spans="2:8" ht="18" customHeight="1" thickBot="1" x14ac:dyDescent="0.3">
      <c r="B111" s="122"/>
      <c r="C111" s="96" t="s">
        <v>98</v>
      </c>
      <c r="D111" s="96"/>
      <c r="E111" s="96"/>
      <c r="F111" s="96"/>
      <c r="G111" s="142"/>
    </row>
    <row r="112" spans="2:8" ht="22.5" customHeight="1" thickTop="1" x14ac:dyDescent="0.2">
      <c r="B112" s="130" t="s">
        <v>98</v>
      </c>
      <c r="C112" s="291" t="s">
        <v>132</v>
      </c>
      <c r="D112" s="291"/>
      <c r="E112" s="151">
        <f>J36/G67</f>
        <v>10.209268358163316</v>
      </c>
      <c r="F112" s="119" t="s">
        <v>171</v>
      </c>
      <c r="G112" s="160"/>
    </row>
    <row r="113" spans="2:7" ht="15.75" thickBot="1" x14ac:dyDescent="0.3">
      <c r="B113" s="122"/>
      <c r="C113" s="96" t="s">
        <v>102</v>
      </c>
      <c r="D113" s="96"/>
      <c r="E113" s="96"/>
      <c r="F113" s="96"/>
      <c r="G113" s="142"/>
    </row>
    <row r="114" spans="2:7" ht="19.5" customHeight="1" thickTop="1" x14ac:dyDescent="0.2">
      <c r="B114" s="130" t="s">
        <v>102</v>
      </c>
      <c r="C114" s="291" t="s">
        <v>172</v>
      </c>
      <c r="D114" s="291"/>
      <c r="E114" s="151">
        <f>J37/G67</f>
        <v>0.74215492602653899</v>
      </c>
      <c r="F114" s="119" t="s">
        <v>83</v>
      </c>
      <c r="G114" s="160"/>
    </row>
    <row r="115" spans="2:7" ht="12.75" customHeight="1" thickBot="1" x14ac:dyDescent="0.3">
      <c r="B115" s="122"/>
      <c r="C115" s="96" t="s">
        <v>103</v>
      </c>
      <c r="D115" s="96"/>
      <c r="E115" s="96"/>
      <c r="F115" s="96"/>
      <c r="G115" s="142"/>
    </row>
    <row r="116" spans="2:7" ht="30" customHeight="1" thickTop="1" x14ac:dyDescent="0.2">
      <c r="B116" s="131" t="s">
        <v>177</v>
      </c>
      <c r="C116" s="291" t="s">
        <v>173</v>
      </c>
      <c r="D116" s="291"/>
      <c r="E116" s="151">
        <f>J36/F78</f>
        <v>995.37321511056484</v>
      </c>
      <c r="F116" s="119" t="s">
        <v>168</v>
      </c>
      <c r="G116" s="160"/>
    </row>
    <row r="117" spans="2:7" ht="27" customHeight="1" x14ac:dyDescent="0.2">
      <c r="B117" s="132" t="s">
        <v>178</v>
      </c>
      <c r="C117" s="291" t="s">
        <v>174</v>
      </c>
      <c r="D117" s="291"/>
      <c r="E117" s="151">
        <f>J36/G70</f>
        <v>84.437427818908048</v>
      </c>
      <c r="F117" s="119" t="s">
        <v>84</v>
      </c>
      <c r="G117" s="160"/>
    </row>
    <row r="118" spans="2:7" ht="15.75" thickBot="1" x14ac:dyDescent="0.3">
      <c r="B118" s="122"/>
      <c r="C118" s="96" t="s">
        <v>104</v>
      </c>
      <c r="D118" s="96"/>
      <c r="E118" s="96"/>
      <c r="F118" s="96"/>
      <c r="G118" s="160"/>
    </row>
    <row r="119" spans="2:7" ht="13.5" customHeight="1" thickTop="1" x14ac:dyDescent="0.2">
      <c r="B119" s="131" t="s">
        <v>144</v>
      </c>
      <c r="C119" s="291" t="s">
        <v>175</v>
      </c>
      <c r="D119" s="291"/>
      <c r="E119" s="151">
        <f>J37/F78</f>
        <v>72.357891761998715</v>
      </c>
      <c r="F119" s="119" t="s">
        <v>168</v>
      </c>
      <c r="G119" s="160"/>
    </row>
    <row r="120" spans="2:7" ht="27" customHeight="1" x14ac:dyDescent="0.2">
      <c r="B120" s="132" t="s">
        <v>145</v>
      </c>
      <c r="C120" s="291" t="s">
        <v>176</v>
      </c>
      <c r="D120" s="291"/>
      <c r="E120" s="151">
        <f>J37/G70</f>
        <v>6.1381139958678395</v>
      </c>
      <c r="F120" s="119" t="s">
        <v>84</v>
      </c>
      <c r="G120" s="160"/>
    </row>
    <row r="121" spans="2:7" ht="15.75" thickBot="1" x14ac:dyDescent="0.3">
      <c r="B121" s="122"/>
      <c r="C121" s="96" t="s">
        <v>140</v>
      </c>
      <c r="D121" s="96"/>
      <c r="E121" s="96"/>
      <c r="F121" s="96"/>
      <c r="G121" s="142"/>
    </row>
    <row r="122" spans="2:7" ht="37.5" customHeight="1" thickTop="1" x14ac:dyDescent="0.2">
      <c r="B122" s="130" t="s">
        <v>140</v>
      </c>
      <c r="C122" s="290" t="s">
        <v>141</v>
      </c>
      <c r="D122" s="290"/>
      <c r="E122" s="133">
        <f>D72/C15</f>
        <v>1.2335828464131577E-2</v>
      </c>
      <c r="F122" s="134"/>
      <c r="G122" s="160"/>
    </row>
    <row r="123" spans="2:7" x14ac:dyDescent="0.2">
      <c r="E123" s="58"/>
    </row>
    <row r="124" spans="2:7" x14ac:dyDescent="0.2">
      <c r="E124" s="58"/>
    </row>
    <row r="125" spans="2:7" x14ac:dyDescent="0.2">
      <c r="E125" s="58"/>
    </row>
    <row r="126" spans="2:7" x14ac:dyDescent="0.2">
      <c r="E126" s="58"/>
    </row>
  </sheetData>
  <mergeCells count="43">
    <mergeCell ref="C122:D122"/>
    <mergeCell ref="C112:D112"/>
    <mergeCell ref="C114:D114"/>
    <mergeCell ref="C116:D116"/>
    <mergeCell ref="C117:D117"/>
    <mergeCell ref="C119:D119"/>
    <mergeCell ref="C120:D120"/>
    <mergeCell ref="C110:D110"/>
    <mergeCell ref="C92:D92"/>
    <mergeCell ref="C94:D94"/>
    <mergeCell ref="C96:D96"/>
    <mergeCell ref="C98:D98"/>
    <mergeCell ref="C99:D99"/>
    <mergeCell ref="C101:D101"/>
    <mergeCell ref="C102:D102"/>
    <mergeCell ref="C104:D104"/>
    <mergeCell ref="C105:D105"/>
    <mergeCell ref="C107:D107"/>
    <mergeCell ref="C109:D109"/>
    <mergeCell ref="C90:D90"/>
    <mergeCell ref="E60:F60"/>
    <mergeCell ref="B61:B63"/>
    <mergeCell ref="C61:C63"/>
    <mergeCell ref="D61:D63"/>
    <mergeCell ref="B74:C74"/>
    <mergeCell ref="E74:F74"/>
    <mergeCell ref="C85:D85"/>
    <mergeCell ref="C87:D87"/>
    <mergeCell ref="C89:D89"/>
    <mergeCell ref="P67:R67"/>
    <mergeCell ref="B72:C72"/>
    <mergeCell ref="C29:F29"/>
    <mergeCell ref="E31:F31"/>
    <mergeCell ref="E43:F43"/>
    <mergeCell ref="C46:D46"/>
    <mergeCell ref="E48:F48"/>
    <mergeCell ref="H48:I48"/>
    <mergeCell ref="H20:I20"/>
    <mergeCell ref="A9:C9"/>
    <mergeCell ref="C12:F12"/>
    <mergeCell ref="E14:F14"/>
    <mergeCell ref="C18:F18"/>
    <mergeCell ref="E20:F20"/>
  </mergeCells>
  <conditionalFormatting sqref="D75:D79">
    <cfRule type="cellIs" dxfId="20" priority="21" operator="lessThan">
      <formula>0</formula>
    </cfRule>
  </conditionalFormatting>
  <conditionalFormatting sqref="G85">
    <cfRule type="cellIs" dxfId="19" priority="20" operator="lessThan">
      <formula>0</formula>
    </cfRule>
  </conditionalFormatting>
  <conditionalFormatting sqref="G87">
    <cfRule type="cellIs" dxfId="18" priority="19" operator="lessThan">
      <formula>0</formula>
    </cfRule>
  </conditionalFormatting>
  <conditionalFormatting sqref="G89">
    <cfRule type="cellIs" dxfId="17" priority="18" operator="lessThan">
      <formula>0</formula>
    </cfRule>
  </conditionalFormatting>
  <conditionalFormatting sqref="G92">
    <cfRule type="cellIs" dxfId="16" priority="17" operator="lessThan">
      <formula>0</formula>
    </cfRule>
  </conditionalFormatting>
  <conditionalFormatting sqref="G94">
    <cfRule type="cellIs" dxfId="15" priority="16" operator="lessThan">
      <formula>0</formula>
    </cfRule>
  </conditionalFormatting>
  <conditionalFormatting sqref="G96">
    <cfRule type="cellIs" dxfId="14" priority="15" operator="lessThan">
      <formula>0</formula>
    </cfRule>
  </conditionalFormatting>
  <conditionalFormatting sqref="G98">
    <cfRule type="cellIs" dxfId="13" priority="14" operator="lessThan">
      <formula>0</formula>
    </cfRule>
  </conditionalFormatting>
  <conditionalFormatting sqref="G101">
    <cfRule type="cellIs" dxfId="12" priority="13" operator="lessThan">
      <formula>0</formula>
    </cfRule>
  </conditionalFormatting>
  <conditionalFormatting sqref="G104">
    <cfRule type="cellIs" dxfId="11" priority="12" operator="lessThan">
      <formula>0</formula>
    </cfRule>
  </conditionalFormatting>
  <conditionalFormatting sqref="G107">
    <cfRule type="cellIs" dxfId="10" priority="11" operator="lessThan">
      <formula>0</formula>
    </cfRule>
  </conditionalFormatting>
  <conditionalFormatting sqref="G109">
    <cfRule type="cellIs" dxfId="9" priority="10" operator="lessThan">
      <formula>0</formula>
    </cfRule>
  </conditionalFormatting>
  <conditionalFormatting sqref="G112">
    <cfRule type="cellIs" dxfId="8" priority="9" operator="lessThan">
      <formula>0</formula>
    </cfRule>
  </conditionalFormatting>
  <conditionalFormatting sqref="G114">
    <cfRule type="cellIs" dxfId="7" priority="8" operator="lessThan">
      <formula>0</formula>
    </cfRule>
  </conditionalFormatting>
  <conditionalFormatting sqref="G116">
    <cfRule type="cellIs" dxfId="6" priority="7" operator="lessThan">
      <formula>0</formula>
    </cfRule>
  </conditionalFormatting>
  <conditionalFormatting sqref="G118">
    <cfRule type="cellIs" dxfId="5" priority="6" operator="lessThan">
      <formula>0</formula>
    </cfRule>
  </conditionalFormatting>
  <conditionalFormatting sqref="G117">
    <cfRule type="cellIs" dxfId="4" priority="5" operator="lessThan">
      <formula>0</formula>
    </cfRule>
  </conditionalFormatting>
  <conditionalFormatting sqref="G119">
    <cfRule type="cellIs" dxfId="3" priority="4" operator="lessThan">
      <formula>0</formula>
    </cfRule>
  </conditionalFormatting>
  <conditionalFormatting sqref="G120">
    <cfRule type="cellIs" dxfId="2" priority="3" operator="lessThan">
      <formula>0</formula>
    </cfRule>
  </conditionalFormatting>
  <conditionalFormatting sqref="G122">
    <cfRule type="cellIs" dxfId="1" priority="2" operator="lessThan">
      <formula>0</formula>
    </cfRule>
  </conditionalFormatting>
  <conditionalFormatting sqref="G75:G78">
    <cfRule type="cellIs" dxfId="0" priority="1" operator="lessThan">
      <formula>0</formula>
    </cfRule>
  </conditionalFormatting>
  <hyperlinks>
    <hyperlink ref="B3" r:id="rId1"/>
  </hyperlinks>
  <pageMargins left="0.70866141732283472" right="0.21" top="0.41" bottom="0.74803149606299213" header="0.31496062992125984" footer="0.31496062992125984"/>
  <pageSetup paperSize="9" scale="7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52" zoomScaleNormal="100" workbookViewId="0">
      <selection activeCell="P33" sqref="P33"/>
    </sheetView>
  </sheetViews>
  <sheetFormatPr baseColWidth="10" defaultRowHeight="15" x14ac:dyDescent="0.25"/>
  <cols>
    <col min="1" max="1" width="8.28515625" customWidth="1"/>
    <col min="2" max="2" width="47.42578125" customWidth="1"/>
    <col min="3" max="7" width="12" bestFit="1" customWidth="1"/>
    <col min="8" max="8" width="16.42578125" customWidth="1"/>
  </cols>
  <sheetData>
    <row r="1" spans="1:8" ht="23.25" thickBot="1" x14ac:dyDescent="0.35">
      <c r="A1" s="98" t="s">
        <v>189</v>
      </c>
    </row>
    <row r="2" spans="1:8" x14ac:dyDescent="0.25">
      <c r="A2" s="161"/>
      <c r="B2" s="162"/>
      <c r="C2" s="213">
        <v>2016</v>
      </c>
      <c r="D2" s="213">
        <v>2015</v>
      </c>
      <c r="E2" s="213">
        <v>2014</v>
      </c>
      <c r="F2" s="213">
        <v>2013</v>
      </c>
      <c r="G2" s="213">
        <v>2012</v>
      </c>
      <c r="H2" s="213">
        <v>2011</v>
      </c>
    </row>
    <row r="3" spans="1:8" ht="36.75" customHeight="1" x14ac:dyDescent="0.25">
      <c r="A3" s="163" t="s">
        <v>90</v>
      </c>
      <c r="B3" s="191" t="s">
        <v>122</v>
      </c>
      <c r="C3" s="194">
        <f>'2016'!$E$92</f>
        <v>2.3617868142374127E-2</v>
      </c>
      <c r="D3" s="195">
        <f>'2015'!$E$92</f>
        <v>2.2482003494567668E-2</v>
      </c>
      <c r="E3" s="195">
        <f>'2014'!$E$92</f>
        <v>2.5317666883902804E-2</v>
      </c>
      <c r="F3" s="195">
        <f>'2013'!$E$92</f>
        <v>2.5345059344761785E-2</v>
      </c>
      <c r="G3" s="195">
        <f>'2012'!$E$92</f>
        <v>2.4587838438479653E-2</v>
      </c>
      <c r="H3" s="196">
        <f>'2011'!$E$92</f>
        <v>2.5640655914855141E-2</v>
      </c>
    </row>
    <row r="4" spans="1:8" x14ac:dyDescent="0.25">
      <c r="A4" s="165"/>
      <c r="B4" s="166" t="s">
        <v>116</v>
      </c>
      <c r="C4" s="178">
        <f>AVERAGE(C3:H3)</f>
        <v>2.4498515369823528E-2</v>
      </c>
      <c r="D4" s="178">
        <v>2.4571276525401923E-2</v>
      </c>
      <c r="E4" s="178">
        <v>2.4571276525401923E-2</v>
      </c>
      <c r="F4" s="178">
        <v>2.4571276525401923E-2</v>
      </c>
      <c r="G4" s="178">
        <v>2.4571276525401923E-2</v>
      </c>
      <c r="H4" s="179">
        <v>2.4571276525401923E-2</v>
      </c>
    </row>
    <row r="5" spans="1:8" ht="18.75" x14ac:dyDescent="0.3">
      <c r="A5" s="165"/>
      <c r="B5" s="202" t="s">
        <v>117</v>
      </c>
      <c r="C5" s="201">
        <f>(C3-H3)/H3</f>
        <v>-7.8889860664956499E-2</v>
      </c>
      <c r="D5" s="166"/>
      <c r="E5" s="166"/>
      <c r="F5" s="166"/>
      <c r="G5" s="166"/>
      <c r="H5" s="169"/>
    </row>
    <row r="6" spans="1:8" ht="15.75" thickBot="1" x14ac:dyDescent="0.3">
      <c r="A6" s="172"/>
      <c r="B6" s="176" t="s">
        <v>127</v>
      </c>
      <c r="C6" s="180">
        <f>'2016'!$D$69</f>
        <v>4548.2478013919999</v>
      </c>
      <c r="D6" s="180">
        <f>'2015'!$D$69</f>
        <v>4329.5068948918206</v>
      </c>
      <c r="E6" s="180">
        <f>'2014'!$D$69</f>
        <v>4108.4436350121596</v>
      </c>
      <c r="F6" s="180">
        <f>'2013'!$D$69</f>
        <v>4112.8887674163207</v>
      </c>
      <c r="G6" s="180">
        <f>'2012'!$D$69</f>
        <v>3990.0101693614993</v>
      </c>
      <c r="H6" s="181">
        <f>'2011'!$D$69</f>
        <v>4014.8192876857602</v>
      </c>
    </row>
    <row r="27" spans="1:8" ht="15.75" thickBot="1" x14ac:dyDescent="0.3"/>
    <row r="28" spans="1:8" x14ac:dyDescent="0.25">
      <c r="A28" s="161"/>
      <c r="B28" s="162"/>
      <c r="C28" s="189">
        <v>2016</v>
      </c>
      <c r="D28" s="189">
        <v>2015</v>
      </c>
      <c r="E28" s="189">
        <v>2014</v>
      </c>
      <c r="F28" s="189">
        <v>2013</v>
      </c>
      <c r="G28" s="189">
        <v>2012</v>
      </c>
      <c r="H28" s="190">
        <v>2011</v>
      </c>
    </row>
    <row r="29" spans="1:8" ht="37.5" x14ac:dyDescent="0.25">
      <c r="A29" s="163" t="s">
        <v>110</v>
      </c>
      <c r="B29" s="191" t="s">
        <v>124</v>
      </c>
      <c r="C29" s="197">
        <f>'2016'!$E$98</f>
        <v>3.0898422563804346</v>
      </c>
      <c r="D29" s="198">
        <f>'2015'!$E$98</f>
        <v>2.9096148487176214</v>
      </c>
      <c r="E29" s="198">
        <f>'2014'!$E$98</f>
        <v>2.8101529651245962</v>
      </c>
      <c r="F29" s="198">
        <f>'2013'!$E$98</f>
        <v>2.8345201705143492</v>
      </c>
      <c r="G29" s="198">
        <f>'2012'!$E$98</f>
        <v>2.6923145542250331</v>
      </c>
      <c r="H29" s="199">
        <f>'2011'!$E$98</f>
        <v>2.4998874767657284</v>
      </c>
    </row>
    <row r="30" spans="1:8" x14ac:dyDescent="0.25">
      <c r="A30" s="165"/>
      <c r="B30" s="166" t="s">
        <v>116</v>
      </c>
      <c r="C30" s="167">
        <f>AVERAGE(C29:H29)</f>
        <v>2.8060553786212936</v>
      </c>
      <c r="D30" s="167">
        <v>2.8231540099803225</v>
      </c>
      <c r="E30" s="167">
        <v>2.8231540099803225</v>
      </c>
      <c r="F30" s="167">
        <v>2.8231540099803225</v>
      </c>
      <c r="G30" s="167">
        <v>2.8231540099803225</v>
      </c>
      <c r="H30" s="168">
        <v>2.8231540099803225</v>
      </c>
    </row>
    <row r="31" spans="1:8" ht="18.75" x14ac:dyDescent="0.3">
      <c r="A31" s="165"/>
      <c r="B31" s="200" t="s">
        <v>117</v>
      </c>
      <c r="C31" s="203">
        <f>(C29-H29)/H29</f>
        <v>0.23599253370314496</v>
      </c>
      <c r="D31" s="166"/>
      <c r="E31" s="166"/>
      <c r="F31" s="166"/>
      <c r="G31" s="166"/>
      <c r="H31" s="169"/>
    </row>
    <row r="32" spans="1:8" x14ac:dyDescent="0.25">
      <c r="A32" s="165"/>
      <c r="B32" s="166" t="s">
        <v>118</v>
      </c>
      <c r="C32" s="210">
        <f>'2016'!$F$78</f>
        <v>1472</v>
      </c>
      <c r="D32" s="210">
        <f>'2015'!$F$78</f>
        <v>1488</v>
      </c>
      <c r="E32" s="210">
        <f>'2014'!$F$78</f>
        <v>1462</v>
      </c>
      <c r="F32" s="210">
        <f>'2013'!$F$78</f>
        <v>1451</v>
      </c>
      <c r="G32" s="210">
        <f>'2012'!$F$78</f>
        <v>1482</v>
      </c>
      <c r="H32" s="211">
        <f>'2011'!$F$78</f>
        <v>1606</v>
      </c>
    </row>
    <row r="33" spans="1:8" x14ac:dyDescent="0.25">
      <c r="A33" s="165"/>
      <c r="B33" s="166" t="s">
        <v>116</v>
      </c>
      <c r="C33" s="170">
        <f>AVERAGE(C32:H32)</f>
        <v>1493.5</v>
      </c>
      <c r="D33" s="166"/>
      <c r="E33" s="166"/>
      <c r="F33" s="166"/>
      <c r="G33" s="166"/>
      <c r="H33" s="169"/>
    </row>
    <row r="34" spans="1:8" x14ac:dyDescent="0.25">
      <c r="A34" s="165"/>
      <c r="B34" s="166" t="s">
        <v>117</v>
      </c>
      <c r="C34" s="171">
        <f>(C32-H32)/H32</f>
        <v>-8.3437110834371109E-2</v>
      </c>
      <c r="D34" s="166"/>
      <c r="E34" s="166"/>
      <c r="F34" s="166"/>
      <c r="G34" s="166"/>
      <c r="H34" s="169"/>
    </row>
    <row r="35" spans="1:8" ht="30.75" thickBot="1" x14ac:dyDescent="0.3">
      <c r="A35" s="172"/>
      <c r="B35" s="173" t="s">
        <v>121</v>
      </c>
      <c r="C35" s="174">
        <v>9.2225708815185187E-2</v>
      </c>
      <c r="D35" s="175"/>
      <c r="E35" s="174"/>
      <c r="F35" s="176"/>
      <c r="G35" s="176"/>
      <c r="H35" s="177"/>
    </row>
    <row r="55" spans="1:8" ht="15.75" thickBot="1" x14ac:dyDescent="0.3"/>
    <row r="56" spans="1:8" x14ac:dyDescent="0.25">
      <c r="A56" s="161"/>
      <c r="B56" s="162"/>
      <c r="C56" s="192">
        <v>2016</v>
      </c>
      <c r="D56" s="192">
        <v>2015</v>
      </c>
      <c r="E56" s="192">
        <v>2014</v>
      </c>
      <c r="F56" s="192">
        <v>2013</v>
      </c>
      <c r="G56" s="192">
        <v>2012</v>
      </c>
      <c r="H56" s="193">
        <v>2011</v>
      </c>
    </row>
    <row r="57" spans="1:8" ht="37.5" x14ac:dyDescent="0.25">
      <c r="A57" s="163" t="s">
        <v>111</v>
      </c>
      <c r="B57" s="191" t="s">
        <v>123</v>
      </c>
      <c r="C57" s="204">
        <f>'2016'!$E$99</f>
        <v>0.28020255060325283</v>
      </c>
      <c r="D57" s="205">
        <f>'2015'!$E$99</f>
        <v>0.26728651036497225</v>
      </c>
      <c r="E57" s="205">
        <f>'2014'!$E$99</f>
        <v>0.24291631496553892</v>
      </c>
      <c r="F57" s="205">
        <f>'2013'!$E$99</f>
        <v>0.23437934621702305</v>
      </c>
      <c r="G57" s="205">
        <f>'2012'!$E$99</f>
        <v>0.21970211824026756</v>
      </c>
      <c r="H57" s="206">
        <f>'2011'!$E$99</f>
        <v>0.21206524866288612</v>
      </c>
    </row>
    <row r="58" spans="1:8" x14ac:dyDescent="0.25">
      <c r="A58" s="165"/>
      <c r="B58" s="182" t="s">
        <v>125</v>
      </c>
      <c r="C58" s="183">
        <f>AVERAGE(C57:H57)</f>
        <v>0.24275868150899016</v>
      </c>
      <c r="D58" s="178"/>
      <c r="E58" s="178"/>
      <c r="F58" s="178"/>
      <c r="G58" s="178"/>
      <c r="H58" s="179"/>
    </row>
    <row r="59" spans="1:8" ht="18.75" x14ac:dyDescent="0.3">
      <c r="A59" s="165"/>
      <c r="B59" s="207" t="s">
        <v>117</v>
      </c>
      <c r="C59" s="203">
        <f>(C57-H57)/H57</f>
        <v>0.32130347791533997</v>
      </c>
      <c r="D59" s="166"/>
      <c r="E59" s="166"/>
      <c r="F59" s="166"/>
      <c r="G59" s="166"/>
      <c r="H59" s="169"/>
    </row>
    <row r="60" spans="1:8" ht="18.75" x14ac:dyDescent="0.25">
      <c r="A60" s="165"/>
      <c r="B60" s="164" t="s">
        <v>119</v>
      </c>
      <c r="C60" s="208">
        <f>'2016'!$C$79</f>
        <v>14760</v>
      </c>
      <c r="D60" s="208">
        <f>'2015'!$C$79</f>
        <v>14710</v>
      </c>
      <c r="E60" s="208">
        <f>'2014'!$C$79</f>
        <v>15451</v>
      </c>
      <c r="F60" s="208">
        <f>'2013'!$C$79</f>
        <v>16097</v>
      </c>
      <c r="G60" s="208">
        <f>'2012'!$C$79</f>
        <v>16679</v>
      </c>
      <c r="H60" s="209">
        <f>'2011'!$C$79</f>
        <v>17326</v>
      </c>
    </row>
    <row r="61" spans="1:8" x14ac:dyDescent="0.25">
      <c r="A61" s="165"/>
      <c r="B61" s="182" t="s">
        <v>126</v>
      </c>
      <c r="C61" s="184">
        <f>AVERAGE(C60:H60)</f>
        <v>15837.166666666666</v>
      </c>
      <c r="D61" s="166"/>
      <c r="E61" s="166"/>
      <c r="F61" s="166"/>
      <c r="G61" s="166"/>
      <c r="H61" s="169"/>
    </row>
    <row r="62" spans="1:8" x14ac:dyDescent="0.25">
      <c r="A62" s="165"/>
      <c r="B62" s="185" t="s">
        <v>117</v>
      </c>
      <c r="C62" s="186">
        <f>(C60-H60)/H60</f>
        <v>-0.14810111970449036</v>
      </c>
      <c r="D62" s="166"/>
      <c r="E62" s="166"/>
      <c r="F62" s="166"/>
      <c r="G62" s="166"/>
      <c r="H62" s="169"/>
    </row>
    <row r="63" spans="1:8" ht="27" thickBot="1" x14ac:dyDescent="0.3">
      <c r="A63" s="172"/>
      <c r="B63" s="187" t="s">
        <v>120</v>
      </c>
      <c r="C63" s="188">
        <v>6.0999999999999999E-2</v>
      </c>
      <c r="D63" s="176"/>
      <c r="E63" s="174"/>
      <c r="F63" s="176"/>
      <c r="G63" s="176"/>
      <c r="H63" s="177"/>
    </row>
    <row r="64" spans="1:8" x14ac:dyDescent="0.25">
      <c r="A64" t="s">
        <v>106</v>
      </c>
    </row>
  </sheetData>
  <pageMargins left="0.70866141732283472" right="0.70866141732283472" top="1.3385826771653544" bottom="0.74803149606299213" header="0.31496062992125984" footer="0.31496062992125984"/>
  <pageSetup paperSize="9" scale="96" orientation="landscape" r:id="rId1"/>
  <headerFooter>
    <oddHeader>&amp;L&amp;G&amp;CVICERRECTORADO DE T.I.C. E INFRAESTRUCTURAS&amp;R&amp;"-,Negrita"&amp;12UNIDAD TÉCNICA</oddHeader>
    <oddFooter>&amp;L&amp;D</oddFooter>
  </headerFooter>
  <rowBreaks count="2" manualBreakCount="2">
    <brk id="26" max="16383" man="1"/>
    <brk id="55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I21" sqref="I21:K25"/>
    </sheetView>
  </sheetViews>
  <sheetFormatPr baseColWidth="10" defaultRowHeight="15" x14ac:dyDescent="0.25"/>
  <cols>
    <col min="1" max="1" width="42.85546875" bestFit="1" customWidth="1"/>
    <col min="2" max="7" width="10.7109375" bestFit="1" customWidth="1"/>
    <col min="8" max="8" width="10" bestFit="1" customWidth="1"/>
    <col min="9" max="10" width="9.85546875" bestFit="1" customWidth="1"/>
    <col min="11" max="11" width="9.42578125" bestFit="1" customWidth="1"/>
  </cols>
  <sheetData>
    <row r="1" spans="1:11" ht="34.5" thickBot="1" x14ac:dyDescent="0.3">
      <c r="A1" s="221"/>
      <c r="B1" s="222">
        <v>2011</v>
      </c>
      <c r="C1" s="222">
        <v>2012</v>
      </c>
      <c r="D1" s="222">
        <v>2013</v>
      </c>
      <c r="E1" s="222">
        <v>2014</v>
      </c>
      <c r="F1" s="222">
        <v>2015</v>
      </c>
      <c r="G1" s="222">
        <v>2016</v>
      </c>
      <c r="H1" s="223" t="s">
        <v>117</v>
      </c>
      <c r="I1" s="224">
        <v>2017</v>
      </c>
      <c r="J1" s="224">
        <v>2018</v>
      </c>
      <c r="K1" s="224" t="s">
        <v>117</v>
      </c>
    </row>
    <row r="2" spans="1:11" ht="15.75" thickBot="1" x14ac:dyDescent="0.3">
      <c r="A2" s="225" t="s">
        <v>192</v>
      </c>
      <c r="B2" s="227">
        <v>2.5600000000000001E-2</v>
      </c>
      <c r="C2" s="227">
        <v>2.46E-2</v>
      </c>
      <c r="D2" s="227">
        <v>2.5100000000000001E-2</v>
      </c>
      <c r="E2" s="227">
        <v>2.5100000000000001E-2</v>
      </c>
      <c r="F2" s="227">
        <v>2.24E-2</v>
      </c>
      <c r="G2" s="227">
        <v>2.35E-2</v>
      </c>
      <c r="H2" s="227">
        <v>-8.3599999999999994E-2</v>
      </c>
      <c r="I2" s="228">
        <v>2.3900000000000001E-2</v>
      </c>
      <c r="J2" s="228">
        <v>2.1399999999999999E-2</v>
      </c>
      <c r="K2" s="228">
        <v>-0.16600000000000001</v>
      </c>
    </row>
    <row r="3" spans="1:11" ht="15.75" thickBot="1" x14ac:dyDescent="0.3">
      <c r="A3" s="225" t="s">
        <v>193</v>
      </c>
      <c r="B3" s="229"/>
      <c r="C3" s="229"/>
      <c r="D3" s="229"/>
      <c r="E3" s="229"/>
      <c r="F3" s="229"/>
      <c r="G3" s="227">
        <v>2.4400000000000002E-2</v>
      </c>
      <c r="H3" s="229"/>
      <c r="I3" s="228"/>
      <c r="J3" s="228">
        <v>2.3900000000000001E-2</v>
      </c>
      <c r="K3" s="228"/>
    </row>
    <row r="4" spans="1:11" ht="15.75" thickBot="1" x14ac:dyDescent="0.3">
      <c r="A4" s="225" t="s">
        <v>194</v>
      </c>
      <c r="B4" s="227">
        <v>4015</v>
      </c>
      <c r="C4" s="227">
        <v>3990</v>
      </c>
      <c r="D4" s="227">
        <v>4113</v>
      </c>
      <c r="E4" s="227">
        <v>4108</v>
      </c>
      <c r="F4" s="227">
        <v>4330</v>
      </c>
      <c r="G4" s="227">
        <v>4548</v>
      </c>
      <c r="H4" s="227">
        <v>0.13289999999999999</v>
      </c>
      <c r="I4" s="228">
        <v>4621.55</v>
      </c>
      <c r="J4" s="228">
        <v>4429.5200000000004</v>
      </c>
      <c r="K4" s="228">
        <v>0.10299999999999999</v>
      </c>
    </row>
    <row r="8" spans="1:11" ht="15.75" thickBot="1" x14ac:dyDescent="0.3"/>
    <row r="9" spans="1:11" ht="34.5" thickBot="1" x14ac:dyDescent="0.3">
      <c r="A9" s="230"/>
      <c r="B9" s="231">
        <v>2011</v>
      </c>
      <c r="C9" s="231">
        <v>2012</v>
      </c>
      <c r="D9" s="231">
        <v>2013</v>
      </c>
      <c r="E9" s="231">
        <v>2014</v>
      </c>
      <c r="F9" s="231">
        <v>2015</v>
      </c>
      <c r="G9" s="231">
        <v>2016</v>
      </c>
      <c r="H9" s="232" t="s">
        <v>117</v>
      </c>
      <c r="I9" s="224">
        <v>2017</v>
      </c>
      <c r="J9" s="224">
        <v>2018</v>
      </c>
      <c r="K9" s="224" t="s">
        <v>117</v>
      </c>
    </row>
    <row r="10" spans="1:11" ht="15.75" thickBot="1" x14ac:dyDescent="0.3">
      <c r="A10" s="233" t="s">
        <v>124</v>
      </c>
      <c r="B10" s="247">
        <v>2.5</v>
      </c>
      <c r="C10" s="247">
        <v>2.69</v>
      </c>
      <c r="D10" s="247">
        <v>2.83</v>
      </c>
      <c r="E10" s="247">
        <v>2.81</v>
      </c>
      <c r="F10" s="247">
        <v>2.91</v>
      </c>
      <c r="G10" s="247">
        <v>3.09</v>
      </c>
      <c r="H10" s="253">
        <v>0.23599999999999999</v>
      </c>
      <c r="I10" s="249">
        <v>2.9815999999999998</v>
      </c>
      <c r="J10" s="249">
        <v>2.8340000000000001</v>
      </c>
      <c r="K10" s="246">
        <v>0.13400000000000001</v>
      </c>
    </row>
    <row r="11" spans="1:11" ht="15.75" thickBot="1" x14ac:dyDescent="0.3">
      <c r="A11" s="233" t="s">
        <v>193</v>
      </c>
      <c r="B11" s="248"/>
      <c r="C11" s="248"/>
      <c r="D11" s="248"/>
      <c r="E11" s="248"/>
      <c r="F11" s="248"/>
      <c r="G11" s="247">
        <v>2.8050000000000002</v>
      </c>
      <c r="H11" s="254"/>
      <c r="I11" s="249"/>
      <c r="J11" s="249">
        <v>2.8307000000000002</v>
      </c>
      <c r="K11" s="246"/>
    </row>
    <row r="12" spans="1:11" ht="15.75" thickBot="1" x14ac:dyDescent="0.3">
      <c r="A12" s="233" t="s">
        <v>194</v>
      </c>
      <c r="B12" s="250">
        <v>4015</v>
      </c>
      <c r="C12" s="250">
        <v>3990</v>
      </c>
      <c r="D12" s="250">
        <v>4113</v>
      </c>
      <c r="E12" s="250">
        <v>4108</v>
      </c>
      <c r="F12" s="250">
        <v>4330</v>
      </c>
      <c r="G12" s="250">
        <v>4548</v>
      </c>
      <c r="H12" s="253">
        <v>0.13300000000000001</v>
      </c>
      <c r="I12" s="251">
        <v>4622</v>
      </c>
      <c r="J12" s="251">
        <v>4430</v>
      </c>
      <c r="K12" s="246">
        <v>0.10299999999999999</v>
      </c>
    </row>
    <row r="13" spans="1:11" ht="15.75" thickBot="1" x14ac:dyDescent="0.3">
      <c r="A13" s="233" t="s">
        <v>195</v>
      </c>
      <c r="B13" s="250">
        <v>1606</v>
      </c>
      <c r="C13" s="250">
        <v>1482</v>
      </c>
      <c r="D13" s="250">
        <v>1451</v>
      </c>
      <c r="E13" s="250">
        <v>1462</v>
      </c>
      <c r="F13" s="250">
        <v>1488</v>
      </c>
      <c r="G13" s="250">
        <v>1472</v>
      </c>
      <c r="H13" s="253">
        <v>-8.3000000000000004E-2</v>
      </c>
      <c r="I13" s="251">
        <v>1563</v>
      </c>
      <c r="J13" s="251">
        <v>1563</v>
      </c>
      <c r="K13" s="246">
        <v>-2.7E-2</v>
      </c>
    </row>
    <row r="14" spans="1:11" ht="15.75" thickBot="1" x14ac:dyDescent="0.3">
      <c r="A14" s="233" t="s">
        <v>193</v>
      </c>
      <c r="B14" s="252"/>
      <c r="C14" s="252"/>
      <c r="D14" s="252"/>
      <c r="E14" s="252"/>
      <c r="F14" s="252"/>
      <c r="G14" s="250">
        <v>4269</v>
      </c>
      <c r="H14" s="254"/>
      <c r="I14" s="251">
        <v>4269</v>
      </c>
      <c r="J14" s="251">
        <v>4269</v>
      </c>
      <c r="K14" s="246"/>
    </row>
    <row r="15" spans="1:11" ht="15.75" thickBot="1" x14ac:dyDescent="0.3">
      <c r="A15" s="233" t="s">
        <v>196</v>
      </c>
      <c r="B15" s="226"/>
      <c r="C15" s="226"/>
      <c r="D15" s="226"/>
      <c r="E15" s="226"/>
      <c r="F15" s="226"/>
      <c r="G15" s="226"/>
      <c r="H15" s="253">
        <v>0.23599999999999999</v>
      </c>
      <c r="I15" s="235"/>
      <c r="J15" s="235"/>
      <c r="K15" s="246">
        <v>0.13400000000000001</v>
      </c>
    </row>
    <row r="16" spans="1:11" ht="23.25" thickBot="1" x14ac:dyDescent="0.3">
      <c r="A16" s="236" t="s">
        <v>197</v>
      </c>
      <c r="B16" s="226"/>
      <c r="C16" s="226"/>
      <c r="D16" s="226"/>
      <c r="E16" s="226"/>
      <c r="F16" s="226"/>
      <c r="G16" s="226"/>
      <c r="H16" s="253">
        <v>0.31900000000000001</v>
      </c>
      <c r="I16" s="235"/>
      <c r="J16" s="235"/>
      <c r="K16" s="246">
        <v>0.16</v>
      </c>
    </row>
    <row r="19" spans="1:11" ht="15.75" thickBot="1" x14ac:dyDescent="0.3"/>
    <row r="20" spans="1:11" ht="34.5" thickBot="1" x14ac:dyDescent="0.3">
      <c r="A20" s="230"/>
      <c r="B20" s="222">
        <v>2011</v>
      </c>
      <c r="C20" s="222">
        <v>2012</v>
      </c>
      <c r="D20" s="222">
        <v>2013</v>
      </c>
      <c r="E20" s="222">
        <v>2014</v>
      </c>
      <c r="F20" s="222">
        <v>2015</v>
      </c>
      <c r="G20" s="222">
        <v>2016</v>
      </c>
      <c r="H20" s="223" t="s">
        <v>117</v>
      </c>
      <c r="I20" s="224">
        <v>2017</v>
      </c>
      <c r="J20" s="224">
        <v>2018</v>
      </c>
      <c r="K20" s="224" t="s">
        <v>117</v>
      </c>
    </row>
    <row r="21" spans="1:11" ht="23.25" thickBot="1" x14ac:dyDescent="0.3">
      <c r="A21" s="236" t="s">
        <v>201</v>
      </c>
      <c r="B21" s="234">
        <v>0.21</v>
      </c>
      <c r="C21" s="234">
        <v>0.22</v>
      </c>
      <c r="D21" s="234">
        <v>0.23</v>
      </c>
      <c r="E21" s="234">
        <v>0.24</v>
      </c>
      <c r="F21" s="234">
        <v>0.27</v>
      </c>
      <c r="G21" s="234">
        <v>0.28000000000000003</v>
      </c>
      <c r="H21" s="234">
        <v>0.33300000000000002</v>
      </c>
      <c r="I21" s="235">
        <v>0.26850000000000002</v>
      </c>
      <c r="J21" s="235">
        <v>0.26140000000000002</v>
      </c>
      <c r="K21" s="235">
        <v>0.245</v>
      </c>
    </row>
    <row r="22" spans="1:11" ht="15.75" thickBot="1" x14ac:dyDescent="0.3">
      <c r="A22" s="236" t="s">
        <v>202</v>
      </c>
      <c r="B22" s="234">
        <v>17326</v>
      </c>
      <c r="C22" s="234">
        <v>16679</v>
      </c>
      <c r="D22" s="234">
        <v>16097</v>
      </c>
      <c r="E22" s="234">
        <v>15451</v>
      </c>
      <c r="F22" s="234">
        <v>14710</v>
      </c>
      <c r="G22" s="234">
        <v>14760</v>
      </c>
      <c r="H22" s="234">
        <v>-0.14799999999999999</v>
      </c>
      <c r="I22" s="235">
        <v>17215</v>
      </c>
      <c r="J22" s="235">
        <v>16948</v>
      </c>
      <c r="K22" s="235">
        <v>-2.1999999999999999E-2</v>
      </c>
    </row>
    <row r="23" spans="1:11" ht="15.75" thickBot="1" x14ac:dyDescent="0.3">
      <c r="A23" s="236" t="s">
        <v>203</v>
      </c>
      <c r="B23" s="226"/>
      <c r="C23" s="226"/>
      <c r="D23" s="226"/>
      <c r="E23" s="226"/>
      <c r="F23" s="226"/>
      <c r="G23" s="234">
        <v>0.2417</v>
      </c>
      <c r="H23" s="226"/>
      <c r="I23" s="235"/>
      <c r="J23" s="235">
        <v>0.2475</v>
      </c>
      <c r="K23" s="235"/>
    </row>
    <row r="24" spans="1:11" ht="15.75" thickBot="1" x14ac:dyDescent="0.3">
      <c r="A24" s="236" t="s">
        <v>196</v>
      </c>
      <c r="B24" s="226"/>
      <c r="C24" s="226"/>
      <c r="D24" s="226"/>
      <c r="E24" s="226"/>
      <c r="F24" s="226"/>
      <c r="G24" s="226"/>
      <c r="H24" s="234">
        <v>-0.14799999999999999</v>
      </c>
      <c r="I24" s="235"/>
      <c r="J24" s="235"/>
      <c r="K24" s="235">
        <v>0.245</v>
      </c>
    </row>
    <row r="25" spans="1:11" ht="23.25" thickBot="1" x14ac:dyDescent="0.3">
      <c r="A25" s="236" t="s">
        <v>204</v>
      </c>
      <c r="B25" s="226"/>
      <c r="C25" s="226"/>
      <c r="D25" s="226"/>
      <c r="E25" s="226"/>
      <c r="F25" s="226"/>
      <c r="G25" s="226"/>
      <c r="H25" s="234">
        <v>0.48099999999999998</v>
      </c>
      <c r="I25" s="235"/>
      <c r="J25" s="235"/>
      <c r="K25" s="235">
        <v>0.26600000000000001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opLeftCell="A64" zoomScaleNormal="100" zoomScaleSheetLayoutView="100" workbookViewId="0">
      <selection activeCell="F80" sqref="F80"/>
    </sheetView>
  </sheetViews>
  <sheetFormatPr baseColWidth="10" defaultRowHeight="12.75" x14ac:dyDescent="0.2"/>
  <cols>
    <col min="1" max="1" width="11.42578125" style="1"/>
    <col min="2" max="2" width="15" style="1" customWidth="1"/>
    <col min="3" max="3" width="22.5703125" style="1" customWidth="1"/>
    <col min="4" max="4" width="19" style="1" customWidth="1"/>
    <col min="5" max="5" width="10.42578125" style="1" bestFit="1" customWidth="1"/>
    <col min="6" max="6" width="16.85546875" style="1" customWidth="1"/>
    <col min="7" max="7" width="20.7109375" style="1" customWidth="1"/>
    <col min="8" max="8" width="7" style="1" bestFit="1" customWidth="1"/>
    <col min="9" max="9" width="18.85546875" style="1" customWidth="1"/>
    <col min="10" max="10" width="18.85546875" style="1" bestFit="1" customWidth="1"/>
    <col min="11" max="11" width="9" style="1" bestFit="1" customWidth="1"/>
    <col min="12" max="12" width="23.140625" style="1" bestFit="1" customWidth="1"/>
    <col min="13" max="13" width="13.85546875" style="1" bestFit="1" customWidth="1"/>
    <col min="14" max="14" width="8" style="1" bestFit="1" customWidth="1"/>
    <col min="15" max="15" width="7.28515625" style="1" bestFit="1" customWidth="1"/>
    <col min="16" max="16" width="11.5703125" style="1" bestFit="1" customWidth="1"/>
    <col min="17" max="16384" width="11.42578125" style="1"/>
  </cols>
  <sheetData>
    <row r="1" spans="1:7" ht="30" x14ac:dyDescent="0.4">
      <c r="A1" s="102" t="s">
        <v>68</v>
      </c>
    </row>
    <row r="2" spans="1:7" ht="15.75" x14ac:dyDescent="0.25">
      <c r="A2" s="104" t="s">
        <v>63</v>
      </c>
      <c r="B2" s="103" t="s">
        <v>64</v>
      </c>
      <c r="C2" s="103"/>
      <c r="D2" s="103"/>
      <c r="E2" s="103"/>
      <c r="F2" s="103"/>
    </row>
    <row r="3" spans="1:7" ht="15.75" x14ac:dyDescent="0.25">
      <c r="A3" s="103"/>
      <c r="B3" s="105" t="s">
        <v>65</v>
      </c>
      <c r="C3" s="103"/>
      <c r="D3" s="103"/>
      <c r="E3" s="103"/>
      <c r="F3" s="103"/>
    </row>
    <row r="4" spans="1:7" ht="15.75" x14ac:dyDescent="0.25">
      <c r="A4" s="103"/>
      <c r="B4" s="103" t="s">
        <v>128</v>
      </c>
      <c r="C4" s="103"/>
      <c r="D4" s="103"/>
      <c r="E4" s="103"/>
      <c r="F4" s="103"/>
    </row>
    <row r="5" spans="1:7" ht="15.75" x14ac:dyDescent="0.25">
      <c r="A5" s="103"/>
      <c r="B5" s="103" t="s">
        <v>69</v>
      </c>
      <c r="C5" s="103"/>
      <c r="D5" s="103"/>
      <c r="E5" s="103"/>
      <c r="F5" s="103"/>
    </row>
    <row r="6" spans="1:7" ht="15.75" x14ac:dyDescent="0.25">
      <c r="A6" s="103"/>
      <c r="B6" s="103" t="s">
        <v>66</v>
      </c>
      <c r="C6" s="103"/>
      <c r="D6" s="103"/>
      <c r="E6" s="103"/>
      <c r="F6" s="103"/>
    </row>
    <row r="7" spans="1:7" ht="15.75" x14ac:dyDescent="0.25">
      <c r="A7" s="103"/>
      <c r="B7" s="103" t="s">
        <v>67</v>
      </c>
      <c r="C7" s="103"/>
      <c r="D7" s="103"/>
      <c r="E7" s="103"/>
      <c r="F7" s="103"/>
    </row>
    <row r="8" spans="1:7" ht="14.25" x14ac:dyDescent="0.2">
      <c r="B8" s="38"/>
      <c r="C8" s="38"/>
      <c r="D8" s="38"/>
      <c r="E8" s="38"/>
      <c r="F8" s="38"/>
    </row>
    <row r="9" spans="1:7" ht="21" x14ac:dyDescent="0.35">
      <c r="A9" s="268" t="s">
        <v>180</v>
      </c>
      <c r="B9" s="268"/>
      <c r="C9" s="268"/>
    </row>
    <row r="11" spans="1:7" ht="23.25" x14ac:dyDescent="0.35">
      <c r="A11" s="101" t="s">
        <v>25</v>
      </c>
    </row>
    <row r="12" spans="1:7" ht="15.75" x14ac:dyDescent="0.25">
      <c r="C12" s="269" t="s">
        <v>0</v>
      </c>
      <c r="D12" s="269"/>
      <c r="E12" s="269"/>
      <c r="F12" s="269"/>
    </row>
    <row r="13" spans="1:7" ht="13.5" thickBot="1" x14ac:dyDescent="0.25"/>
    <row r="14" spans="1:7" s="65" customFormat="1" ht="27" customHeight="1" thickBot="1" x14ac:dyDescent="0.3">
      <c r="C14" s="43" t="s">
        <v>20</v>
      </c>
      <c r="D14" s="42" t="s">
        <v>5</v>
      </c>
      <c r="E14" s="270" t="s">
        <v>1</v>
      </c>
      <c r="F14" s="270"/>
      <c r="G14" s="66" t="s">
        <v>85</v>
      </c>
    </row>
    <row r="15" spans="1:7" ht="16.5" thickBot="1" x14ac:dyDescent="0.3">
      <c r="B15" s="3" t="s">
        <v>48</v>
      </c>
      <c r="C15" s="149">
        <v>0</v>
      </c>
      <c r="D15" s="4" t="s">
        <v>21</v>
      </c>
      <c r="E15" s="5">
        <v>0.35699999999999998</v>
      </c>
      <c r="F15" s="6" t="s">
        <v>2</v>
      </c>
      <c r="G15" s="212">
        <f>C15*E15/1000</f>
        <v>0</v>
      </c>
    </row>
    <row r="16" spans="1:7" ht="16.5" thickBot="1" x14ac:dyDescent="0.3">
      <c r="B16" s="3" t="s">
        <v>49</v>
      </c>
      <c r="C16" s="48"/>
      <c r="D16" s="4" t="s">
        <v>21</v>
      </c>
      <c r="E16" s="5">
        <v>0.35699999999999998</v>
      </c>
      <c r="F16" s="6" t="s">
        <v>2</v>
      </c>
      <c r="G16" s="212">
        <f>C16*E16</f>
        <v>0</v>
      </c>
    </row>
    <row r="17" spans="2:11" x14ac:dyDescent="0.2">
      <c r="G17" s="55">
        <f>SUM(G15:G16)</f>
        <v>0</v>
      </c>
    </row>
    <row r="18" spans="2:11" ht="15.75" x14ac:dyDescent="0.25">
      <c r="C18" s="269" t="s">
        <v>3</v>
      </c>
      <c r="D18" s="269"/>
      <c r="E18" s="269"/>
      <c r="F18" s="269"/>
      <c r="G18" s="55"/>
    </row>
    <row r="19" spans="2:11" ht="13.5" thickBot="1" x14ac:dyDescent="0.25"/>
    <row r="20" spans="2:11" s="46" customFormat="1" ht="30.75" customHeight="1" thickBot="1" x14ac:dyDescent="0.3">
      <c r="B20" s="59" t="s">
        <v>4</v>
      </c>
      <c r="C20" s="60" t="s">
        <v>20</v>
      </c>
      <c r="D20" s="62" t="s">
        <v>5</v>
      </c>
      <c r="E20" s="266" t="s">
        <v>7</v>
      </c>
      <c r="F20" s="271"/>
      <c r="G20" s="64" t="s">
        <v>21</v>
      </c>
      <c r="H20" s="266" t="s">
        <v>1</v>
      </c>
      <c r="I20" s="267"/>
      <c r="J20" s="66" t="s">
        <v>85</v>
      </c>
    </row>
    <row r="21" spans="2:11" ht="15.75" x14ac:dyDescent="0.25">
      <c r="B21" s="11" t="s">
        <v>8</v>
      </c>
      <c r="C21" s="145">
        <v>0</v>
      </c>
      <c r="D21" s="13" t="s">
        <v>24</v>
      </c>
      <c r="E21" s="14">
        <v>10.7056</v>
      </c>
      <c r="F21" s="15" t="s">
        <v>27</v>
      </c>
      <c r="G21" s="87">
        <f>C21*E21</f>
        <v>0</v>
      </c>
      <c r="H21" s="14">
        <v>0.252</v>
      </c>
      <c r="I21" s="14" t="s">
        <v>2</v>
      </c>
      <c r="J21" s="88">
        <f>G21*H21/1000</f>
        <v>0</v>
      </c>
    </row>
    <row r="22" spans="2:11" ht="26.25" x14ac:dyDescent="0.25">
      <c r="B22" s="16" t="s">
        <v>26</v>
      </c>
      <c r="C22" s="146">
        <v>0</v>
      </c>
      <c r="D22" s="18" t="s">
        <v>9</v>
      </c>
      <c r="E22" s="19">
        <v>10.6</v>
      </c>
      <c r="F22" s="20" t="s">
        <v>10</v>
      </c>
      <c r="G22" s="87">
        <f t="shared" ref="G22:G26" si="0">C22*E22</f>
        <v>0</v>
      </c>
      <c r="H22" s="19">
        <v>0.311</v>
      </c>
      <c r="I22" s="19" t="s">
        <v>2</v>
      </c>
      <c r="J22" s="88">
        <f t="shared" ref="J22:J26" si="1">G22*H22/1000</f>
        <v>0</v>
      </c>
    </row>
    <row r="23" spans="2:11" ht="39" x14ac:dyDescent="0.25">
      <c r="B23" s="16" t="s">
        <v>30</v>
      </c>
      <c r="C23" s="146">
        <v>0</v>
      </c>
      <c r="D23" s="18" t="s">
        <v>11</v>
      </c>
      <c r="E23" s="19">
        <v>11.161099999999999</v>
      </c>
      <c r="F23" s="20" t="s">
        <v>12</v>
      </c>
      <c r="G23" s="87">
        <f t="shared" si="0"/>
        <v>0</v>
      </c>
      <c r="H23" s="19">
        <v>1.7999999999999999E-2</v>
      </c>
      <c r="I23" s="19" t="s">
        <v>2</v>
      </c>
      <c r="J23" s="88">
        <f t="shared" si="1"/>
        <v>0</v>
      </c>
    </row>
    <row r="24" spans="2:11" ht="15.75" x14ac:dyDescent="0.25">
      <c r="B24" s="16" t="s">
        <v>31</v>
      </c>
      <c r="C24" s="146">
        <v>0</v>
      </c>
      <c r="D24" s="18" t="s">
        <v>11</v>
      </c>
      <c r="E24" s="19">
        <v>12.6389</v>
      </c>
      <c r="F24" s="20" t="s">
        <v>12</v>
      </c>
      <c r="G24" s="87">
        <f t="shared" si="0"/>
        <v>0</v>
      </c>
      <c r="H24" s="19">
        <v>0.254</v>
      </c>
      <c r="I24" s="19" t="s">
        <v>2</v>
      </c>
      <c r="J24" s="88">
        <f t="shared" si="1"/>
        <v>0</v>
      </c>
    </row>
    <row r="25" spans="2:11" ht="15.75" x14ac:dyDescent="0.25">
      <c r="B25" s="16" t="s">
        <v>28</v>
      </c>
      <c r="C25" s="146">
        <v>0</v>
      </c>
      <c r="D25" s="18" t="s">
        <v>11</v>
      </c>
      <c r="E25" s="19">
        <v>5.6971999999999996</v>
      </c>
      <c r="F25" s="20" t="s">
        <v>12</v>
      </c>
      <c r="G25" s="87">
        <f t="shared" si="0"/>
        <v>0</v>
      </c>
      <c r="H25" s="19">
        <v>0.47199999999999998</v>
      </c>
      <c r="I25" s="19" t="s">
        <v>2</v>
      </c>
      <c r="J25" s="88">
        <f t="shared" si="1"/>
        <v>0</v>
      </c>
    </row>
    <row r="26" spans="2:11" ht="26.25" x14ac:dyDescent="0.25">
      <c r="B26" s="16" t="s">
        <v>29</v>
      </c>
      <c r="C26" s="146">
        <v>0</v>
      </c>
      <c r="D26" s="18" t="s">
        <v>11</v>
      </c>
      <c r="E26" s="19">
        <v>7.0917000000000003</v>
      </c>
      <c r="F26" s="20" t="s">
        <v>12</v>
      </c>
      <c r="G26" s="87">
        <f t="shared" si="0"/>
        <v>0</v>
      </c>
      <c r="H26" s="19">
        <v>1.7999999999999999E-2</v>
      </c>
      <c r="I26" s="19" t="s">
        <v>2</v>
      </c>
      <c r="J26" s="88">
        <f t="shared" si="1"/>
        <v>0</v>
      </c>
    </row>
    <row r="27" spans="2:11" ht="16.5" thickBot="1" x14ac:dyDescent="0.3">
      <c r="B27" s="21"/>
      <c r="C27" s="147">
        <v>0</v>
      </c>
      <c r="D27" s="23"/>
      <c r="E27" s="24"/>
      <c r="F27" s="25"/>
      <c r="G27" s="93"/>
      <c r="H27" s="24"/>
      <c r="I27" s="24"/>
      <c r="J27" s="89">
        <f>SUM(J21:J26)</f>
        <v>0</v>
      </c>
    </row>
    <row r="28" spans="2:11" x14ac:dyDescent="0.2"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5.75" customHeight="1" x14ac:dyDescent="0.25">
      <c r="C29" s="269" t="s">
        <v>13</v>
      </c>
      <c r="D29" s="269"/>
      <c r="E29" s="269"/>
      <c r="F29" s="269"/>
      <c r="G29" s="26"/>
      <c r="H29" s="2" t="s">
        <v>81</v>
      </c>
      <c r="I29" s="26"/>
      <c r="J29" s="26"/>
      <c r="K29" s="26"/>
    </row>
    <row r="30" spans="2:11" ht="15.75" customHeight="1" thickBot="1" x14ac:dyDescent="0.3">
      <c r="C30" s="106"/>
      <c r="D30" s="106"/>
      <c r="E30" s="106"/>
      <c r="F30" s="106"/>
      <c r="G30" s="26"/>
      <c r="H30" s="2"/>
      <c r="I30" s="26"/>
      <c r="J30" s="26"/>
      <c r="K30" s="26"/>
    </row>
    <row r="31" spans="2:11" ht="39.75" customHeight="1" thickBot="1" x14ac:dyDescent="0.25">
      <c r="B31" s="27" t="s">
        <v>23</v>
      </c>
      <c r="C31" s="39" t="s">
        <v>20</v>
      </c>
      <c r="D31" s="42" t="s">
        <v>5</v>
      </c>
      <c r="E31" s="266" t="s">
        <v>6</v>
      </c>
      <c r="F31" s="271"/>
      <c r="G31" s="66" t="s">
        <v>85</v>
      </c>
      <c r="H31" s="26"/>
      <c r="I31" s="59"/>
      <c r="J31" s="60" t="s">
        <v>82</v>
      </c>
    </row>
    <row r="32" spans="2:11" ht="27" thickBot="1" x14ac:dyDescent="0.3">
      <c r="B32" s="28" t="s">
        <v>14</v>
      </c>
      <c r="C32" s="86">
        <v>0</v>
      </c>
      <c r="D32" s="29" t="s">
        <v>11</v>
      </c>
      <c r="E32" s="30">
        <v>3</v>
      </c>
      <c r="F32" s="14" t="s">
        <v>15</v>
      </c>
      <c r="G32" s="31">
        <f>C32*E32/1000</f>
        <v>0</v>
      </c>
      <c r="I32" s="11" t="s">
        <v>22</v>
      </c>
      <c r="J32" s="83">
        <v>0</v>
      </c>
      <c r="K32" s="26"/>
    </row>
    <row r="33" spans="1:11" ht="26.25" customHeight="1" thickBot="1" x14ac:dyDescent="0.3">
      <c r="B33" s="32" t="s">
        <v>16</v>
      </c>
      <c r="C33" s="91">
        <v>0</v>
      </c>
      <c r="D33" s="33" t="s">
        <v>11</v>
      </c>
      <c r="E33" s="34">
        <v>1.8</v>
      </c>
      <c r="F33" s="19" t="s">
        <v>17</v>
      </c>
      <c r="G33" s="31">
        <f t="shared" ref="G33:G34" si="2">C33*E33/1000</f>
        <v>0</v>
      </c>
      <c r="I33" s="16" t="s">
        <v>8</v>
      </c>
      <c r="J33" s="83">
        <v>0</v>
      </c>
      <c r="K33" s="26"/>
    </row>
    <row r="34" spans="1:11" ht="27" thickBot="1" x14ac:dyDescent="0.3">
      <c r="B34" s="35" t="s">
        <v>18</v>
      </c>
      <c r="C34" s="92">
        <v>0</v>
      </c>
      <c r="D34" s="36" t="s">
        <v>24</v>
      </c>
      <c r="E34" s="37">
        <v>0.78800000000000003</v>
      </c>
      <c r="F34" s="24" t="s">
        <v>19</v>
      </c>
      <c r="G34" s="31">
        <f t="shared" si="2"/>
        <v>0</v>
      </c>
      <c r="I34" s="16" t="s">
        <v>26</v>
      </c>
      <c r="J34" s="83">
        <v>0</v>
      </c>
    </row>
    <row r="35" spans="1:11" ht="25.5" x14ac:dyDescent="0.2">
      <c r="I35" s="16" t="s">
        <v>30</v>
      </c>
      <c r="J35" s="83">
        <v>0</v>
      </c>
    </row>
    <row r="36" spans="1:11" x14ac:dyDescent="0.2">
      <c r="I36" s="84" t="s">
        <v>76</v>
      </c>
      <c r="J36" s="83">
        <f>SUM(J32:J35)</f>
        <v>0</v>
      </c>
    </row>
    <row r="37" spans="1:11" x14ac:dyDescent="0.2">
      <c r="I37" s="85" t="s">
        <v>18</v>
      </c>
      <c r="J37" s="83">
        <v>0</v>
      </c>
    </row>
    <row r="39" spans="1:11" ht="23.25" x14ac:dyDescent="0.35">
      <c r="A39" s="101" t="s">
        <v>105</v>
      </c>
    </row>
    <row r="40" spans="1:11" ht="14.25" x14ac:dyDescent="0.2">
      <c r="B40" s="38"/>
      <c r="C40" s="38"/>
      <c r="D40" s="38"/>
      <c r="E40" s="38"/>
      <c r="F40" s="38"/>
    </row>
    <row r="41" spans="1:11" ht="15.75" x14ac:dyDescent="0.25">
      <c r="C41" s="2" t="s">
        <v>32</v>
      </c>
      <c r="D41" s="2"/>
    </row>
    <row r="42" spans="1:11" ht="13.5" thickBot="1" x14ac:dyDescent="0.25"/>
    <row r="43" spans="1:11" ht="27" customHeight="1" thickBot="1" x14ac:dyDescent="0.25">
      <c r="C43" s="43" t="s">
        <v>20</v>
      </c>
      <c r="D43" s="42" t="s">
        <v>5</v>
      </c>
      <c r="E43" s="270" t="s">
        <v>34</v>
      </c>
      <c r="F43" s="270"/>
      <c r="G43" s="41" t="s">
        <v>35</v>
      </c>
    </row>
    <row r="44" spans="1:11" s="46" customFormat="1" ht="26.25" thickBot="1" x14ac:dyDescent="0.3">
      <c r="B44" s="50" t="s">
        <v>22</v>
      </c>
      <c r="C44" s="148">
        <f>$C$15</f>
        <v>0</v>
      </c>
      <c r="D44" s="51" t="s">
        <v>21</v>
      </c>
      <c r="E44" s="52">
        <v>2.403</v>
      </c>
      <c r="F44" s="53" t="s">
        <v>33</v>
      </c>
      <c r="G44" s="54">
        <f>C44*E44</f>
        <v>0</v>
      </c>
    </row>
    <row r="46" spans="1:11" ht="15.75" x14ac:dyDescent="0.25">
      <c r="C46" s="269"/>
      <c r="D46" s="269"/>
    </row>
    <row r="47" spans="1:11" ht="13.5" thickBot="1" x14ac:dyDescent="0.25"/>
    <row r="48" spans="1:11" ht="30.75" customHeight="1" thickBot="1" x14ac:dyDescent="0.25">
      <c r="B48" s="7" t="s">
        <v>4</v>
      </c>
      <c r="C48" s="8" t="s">
        <v>20</v>
      </c>
      <c r="D48" s="40" t="s">
        <v>5</v>
      </c>
      <c r="E48" s="274" t="s">
        <v>7</v>
      </c>
      <c r="F48" s="275"/>
      <c r="G48" s="10" t="s">
        <v>21</v>
      </c>
      <c r="H48" s="276" t="s">
        <v>34</v>
      </c>
      <c r="I48" s="276"/>
      <c r="J48" s="41" t="s">
        <v>35</v>
      </c>
    </row>
    <row r="49" spans="1:11" ht="27" thickBot="1" x14ac:dyDescent="0.3">
      <c r="B49" s="11" t="s">
        <v>8</v>
      </c>
      <c r="C49" s="145">
        <f t="shared" ref="C49:C54" si="3">C21</f>
        <v>0</v>
      </c>
      <c r="D49" s="13" t="s">
        <v>24</v>
      </c>
      <c r="E49" s="14">
        <v>10.7056</v>
      </c>
      <c r="F49" s="15" t="s">
        <v>27</v>
      </c>
      <c r="G49" s="87">
        <f>C49*E49</f>
        <v>0</v>
      </c>
      <c r="H49" s="14">
        <v>1.1950000000000001</v>
      </c>
      <c r="I49" s="6" t="s">
        <v>33</v>
      </c>
      <c r="J49" s="88">
        <f>G49*H49</f>
        <v>0</v>
      </c>
    </row>
    <row r="50" spans="1:11" ht="27" thickBot="1" x14ac:dyDescent="0.3">
      <c r="B50" s="16" t="s">
        <v>26</v>
      </c>
      <c r="C50" s="146">
        <f t="shared" si="3"/>
        <v>0</v>
      </c>
      <c r="D50" s="18" t="s">
        <v>9</v>
      </c>
      <c r="E50" s="19">
        <v>10.6</v>
      </c>
      <c r="F50" s="20" t="s">
        <v>10</v>
      </c>
      <c r="G50" s="87">
        <f t="shared" ref="G50:G54" si="4">C50*E50</f>
        <v>0</v>
      </c>
      <c r="H50" s="19">
        <v>1.1819999999999999</v>
      </c>
      <c r="I50" s="6" t="s">
        <v>33</v>
      </c>
      <c r="J50" s="88">
        <f t="shared" ref="J50:J54" si="5">G50*H50</f>
        <v>0</v>
      </c>
    </row>
    <row r="51" spans="1:11" ht="39.75" thickBot="1" x14ac:dyDescent="0.3">
      <c r="B51" s="16" t="s">
        <v>30</v>
      </c>
      <c r="C51" s="146">
        <f t="shared" si="3"/>
        <v>0</v>
      </c>
      <c r="D51" s="18" t="s">
        <v>11</v>
      </c>
      <c r="E51" s="19">
        <v>11.161099999999999</v>
      </c>
      <c r="F51" s="20" t="s">
        <v>12</v>
      </c>
      <c r="G51" s="87">
        <f t="shared" si="4"/>
        <v>0</v>
      </c>
      <c r="H51" s="19">
        <v>1.113</v>
      </c>
      <c r="I51" s="6" t="s">
        <v>33</v>
      </c>
      <c r="J51" s="88">
        <f t="shared" si="5"/>
        <v>0</v>
      </c>
    </row>
    <row r="52" spans="1:11" ht="27" thickBot="1" x14ac:dyDescent="0.3">
      <c r="B52" s="16" t="s">
        <v>31</v>
      </c>
      <c r="C52" s="146">
        <f t="shared" si="3"/>
        <v>0</v>
      </c>
      <c r="D52" s="18" t="s">
        <v>11</v>
      </c>
      <c r="E52" s="19">
        <v>12.6389</v>
      </c>
      <c r="F52" s="20" t="s">
        <v>12</v>
      </c>
      <c r="G52" s="87">
        <f t="shared" si="4"/>
        <v>0</v>
      </c>
      <c r="H52" s="19">
        <v>1.204</v>
      </c>
      <c r="I52" s="6" t="s">
        <v>33</v>
      </c>
      <c r="J52" s="88">
        <f t="shared" si="5"/>
        <v>0</v>
      </c>
    </row>
    <row r="53" spans="1:11" ht="27" thickBot="1" x14ac:dyDescent="0.3">
      <c r="B53" s="16" t="s">
        <v>28</v>
      </c>
      <c r="C53" s="146">
        <f t="shared" si="3"/>
        <v>0</v>
      </c>
      <c r="D53" s="18" t="s">
        <v>11</v>
      </c>
      <c r="E53" s="19">
        <v>5.6971999999999996</v>
      </c>
      <c r="F53" s="20" t="s">
        <v>12</v>
      </c>
      <c r="G53" s="87">
        <f t="shared" si="4"/>
        <v>0</v>
      </c>
      <c r="H53" s="19">
        <v>1.0840000000000001</v>
      </c>
      <c r="I53" s="6" t="s">
        <v>33</v>
      </c>
      <c r="J53" s="88">
        <f t="shared" si="5"/>
        <v>0</v>
      </c>
    </row>
    <row r="54" spans="1:11" ht="27" thickBot="1" x14ac:dyDescent="0.3">
      <c r="B54" s="16" t="s">
        <v>29</v>
      </c>
      <c r="C54" s="146">
        <f t="shared" si="3"/>
        <v>0</v>
      </c>
      <c r="D54" s="18" t="s">
        <v>11</v>
      </c>
      <c r="E54" s="19">
        <v>7.0917000000000003</v>
      </c>
      <c r="F54" s="20" t="s">
        <v>12</v>
      </c>
      <c r="G54" s="87">
        <f t="shared" si="4"/>
        <v>0</v>
      </c>
      <c r="H54" s="19">
        <v>1.0369999999999999</v>
      </c>
      <c r="I54" s="6" t="s">
        <v>33</v>
      </c>
      <c r="J54" s="88">
        <f t="shared" si="5"/>
        <v>0</v>
      </c>
    </row>
    <row r="55" spans="1:11" ht="16.5" thickBot="1" x14ac:dyDescent="0.3">
      <c r="B55" s="21"/>
      <c r="C55" s="147"/>
      <c r="D55" s="23"/>
      <c r="E55" s="24"/>
      <c r="F55" s="25"/>
      <c r="G55" s="93">
        <f>SUM(G49:G54)</f>
        <v>0</v>
      </c>
      <c r="H55" s="24"/>
      <c r="I55" s="24"/>
      <c r="J55" s="89">
        <f>SUM(J49:J54)</f>
        <v>0</v>
      </c>
    </row>
    <row r="56" spans="1:11" x14ac:dyDescent="0.2">
      <c r="C56" s="26"/>
      <c r="D56" s="26"/>
      <c r="E56" s="26"/>
      <c r="F56" s="26"/>
      <c r="G56" s="26"/>
      <c r="H56" s="26"/>
      <c r="I56" s="26"/>
      <c r="J56" s="26"/>
      <c r="K56" s="26"/>
    </row>
    <row r="57" spans="1:11" ht="18.75" x14ac:dyDescent="0.3">
      <c r="A57" s="100" t="s">
        <v>136</v>
      </c>
      <c r="H57" s="26"/>
      <c r="I57" s="26"/>
      <c r="J57" s="26"/>
      <c r="K57" s="26"/>
    </row>
    <row r="58" spans="1:11" ht="15.75" x14ac:dyDescent="0.25">
      <c r="C58" s="2" t="s">
        <v>0</v>
      </c>
      <c r="D58" s="2"/>
      <c r="H58" s="26"/>
      <c r="I58" s="26"/>
      <c r="J58" s="26"/>
      <c r="K58" s="26"/>
    </row>
    <row r="59" spans="1:11" ht="13.5" thickBot="1" x14ac:dyDescent="0.25">
      <c r="H59" s="26"/>
      <c r="I59" s="26"/>
      <c r="J59" s="26"/>
      <c r="K59" s="26"/>
    </row>
    <row r="60" spans="1:11" ht="31.5" customHeight="1" thickBot="1" x14ac:dyDescent="0.25">
      <c r="A60" s="65"/>
      <c r="B60" s="65"/>
      <c r="C60" s="43" t="s">
        <v>107</v>
      </c>
      <c r="D60" s="42" t="s">
        <v>5</v>
      </c>
      <c r="E60" s="270" t="s">
        <v>134</v>
      </c>
      <c r="F60" s="270"/>
      <c r="G60" s="66" t="s">
        <v>135</v>
      </c>
      <c r="H60" s="26"/>
      <c r="I60" s="26"/>
      <c r="J60" s="26"/>
      <c r="K60" s="26"/>
    </row>
    <row r="61" spans="1:11" ht="16.5" thickBot="1" x14ac:dyDescent="0.3">
      <c r="B61" s="278" t="s">
        <v>22</v>
      </c>
      <c r="C61" s="281">
        <v>0</v>
      </c>
      <c r="D61" s="284" t="s">
        <v>21</v>
      </c>
      <c r="E61" s="5">
        <v>0.35699999999999998</v>
      </c>
      <c r="F61" s="6" t="s">
        <v>2</v>
      </c>
      <c r="G61" s="109">
        <f>-(C61*E61/1000)</f>
        <v>0</v>
      </c>
      <c r="H61" s="26"/>
      <c r="I61" s="26"/>
      <c r="J61" s="26"/>
      <c r="K61" s="26"/>
    </row>
    <row r="62" spans="1:11" ht="16.5" thickBot="1" x14ac:dyDescent="0.3">
      <c r="B62" s="279"/>
      <c r="C62" s="282"/>
      <c r="D62" s="285"/>
      <c r="E62" s="5">
        <v>0.36659999999999998</v>
      </c>
      <c r="F62" s="6" t="s">
        <v>133</v>
      </c>
      <c r="G62" s="110">
        <f>-(C61*E62/1000)/1000</f>
        <v>0</v>
      </c>
      <c r="H62" s="26"/>
      <c r="I62" s="26"/>
      <c r="J62" s="26"/>
      <c r="K62" s="26"/>
    </row>
    <row r="63" spans="1:11" ht="16.5" thickBot="1" x14ac:dyDescent="0.3">
      <c r="B63" s="280"/>
      <c r="C63" s="283"/>
      <c r="D63" s="286"/>
      <c r="E63" s="5">
        <v>0.26100000000000001</v>
      </c>
      <c r="F63" s="6" t="s">
        <v>137</v>
      </c>
      <c r="G63" s="110">
        <f>-(C61*E63/1000)/1000</f>
        <v>0</v>
      </c>
      <c r="H63" s="26"/>
      <c r="I63" s="26"/>
      <c r="J63" s="26"/>
      <c r="K63" s="26"/>
    </row>
    <row r="64" spans="1:11" x14ac:dyDescent="0.2">
      <c r="C64" s="26"/>
      <c r="D64" s="26"/>
      <c r="E64" s="26"/>
      <c r="F64" s="26"/>
      <c r="G64" s="26" t="s">
        <v>106</v>
      </c>
      <c r="H64" s="26"/>
      <c r="I64" s="26"/>
      <c r="J64" s="26"/>
      <c r="K64" s="26"/>
    </row>
    <row r="65" spans="1:19" ht="23.25" x14ac:dyDescent="0.35">
      <c r="A65" s="101" t="s">
        <v>152</v>
      </c>
      <c r="C65" s="26"/>
      <c r="D65" s="26"/>
      <c r="E65" s="26"/>
      <c r="F65" s="26"/>
      <c r="G65" s="26"/>
      <c r="H65" s="26"/>
      <c r="I65" s="26"/>
      <c r="J65" s="26"/>
      <c r="K65" s="26"/>
    </row>
    <row r="66" spans="1:19" ht="15.75" x14ac:dyDescent="0.25">
      <c r="B66" s="2" t="s">
        <v>130</v>
      </c>
      <c r="C66" s="26"/>
      <c r="D66" s="26"/>
      <c r="E66" s="26"/>
      <c r="F66" s="26"/>
      <c r="G66" s="26"/>
      <c r="H66" s="26"/>
      <c r="I66" s="26"/>
      <c r="J66" s="26"/>
      <c r="K66" s="26"/>
    </row>
    <row r="67" spans="1:19" ht="25.5" x14ac:dyDescent="0.2">
      <c r="A67" s="135" t="s">
        <v>146</v>
      </c>
      <c r="B67" s="136" t="s">
        <v>36</v>
      </c>
      <c r="C67" s="137"/>
      <c r="D67" s="74">
        <f>G44+J55</f>
        <v>0</v>
      </c>
      <c r="E67" s="82" t="s">
        <v>21</v>
      </c>
      <c r="F67" s="67" t="s">
        <v>45</v>
      </c>
      <c r="G67" s="73">
        <v>192576.56000000003</v>
      </c>
      <c r="H67" s="44" t="s">
        <v>75</v>
      </c>
      <c r="I67" s="26"/>
      <c r="P67" s="272" t="s">
        <v>58</v>
      </c>
      <c r="Q67" s="272"/>
      <c r="R67" s="272"/>
      <c r="S67" s="75" t="s">
        <v>80</v>
      </c>
    </row>
    <row r="68" spans="1:19" ht="25.5" x14ac:dyDescent="0.2">
      <c r="A68" s="135" t="s">
        <v>147</v>
      </c>
      <c r="B68" s="136" t="s">
        <v>37</v>
      </c>
      <c r="C68" s="138"/>
      <c r="D68" s="74">
        <f>C44+G55</f>
        <v>0</v>
      </c>
      <c r="E68" s="77" t="s">
        <v>21</v>
      </c>
      <c r="F68" s="67" t="s">
        <v>41</v>
      </c>
      <c r="G68" s="78">
        <f>$F$78</f>
        <v>0</v>
      </c>
      <c r="P68" s="68" t="s">
        <v>59</v>
      </c>
      <c r="Q68" s="47" t="s">
        <v>43</v>
      </c>
      <c r="R68" s="69">
        <v>3425</v>
      </c>
      <c r="S68" s="76" t="e">
        <f>(R68-#REF!)/#REF!</f>
        <v>#REF!</v>
      </c>
    </row>
    <row r="69" spans="1:19" ht="25.5" x14ac:dyDescent="0.2">
      <c r="A69" s="135" t="s">
        <v>148</v>
      </c>
      <c r="B69" s="136" t="s">
        <v>38</v>
      </c>
      <c r="C69" s="138"/>
      <c r="D69" s="74">
        <f>G15+J27</f>
        <v>0</v>
      </c>
      <c r="E69" s="77" t="s">
        <v>88</v>
      </c>
      <c r="F69" s="67" t="s">
        <v>42</v>
      </c>
      <c r="G69" s="78">
        <f>$C$79</f>
        <v>0</v>
      </c>
      <c r="P69" s="70" t="s">
        <v>60</v>
      </c>
      <c r="Q69" s="47" t="s">
        <v>61</v>
      </c>
      <c r="R69" s="71">
        <v>68</v>
      </c>
      <c r="S69" s="76" t="e">
        <f>(R69-#REF!)/#REF!</f>
        <v>#REF!</v>
      </c>
    </row>
    <row r="70" spans="1:19" ht="38.25" x14ac:dyDescent="0.2">
      <c r="A70" s="135" t="s">
        <v>149</v>
      </c>
      <c r="B70" s="136" t="s">
        <v>39</v>
      </c>
      <c r="C70" s="138"/>
      <c r="D70" s="74">
        <f>D68*0.366/1000</f>
        <v>0</v>
      </c>
      <c r="E70" s="77" t="s">
        <v>89</v>
      </c>
      <c r="F70" s="140" t="s">
        <v>169</v>
      </c>
      <c r="G70" s="80">
        <f>G68+G69</f>
        <v>0</v>
      </c>
      <c r="P70" s="47"/>
      <c r="Q70" s="47" t="s">
        <v>62</v>
      </c>
      <c r="R70" s="71">
        <v>1757</v>
      </c>
      <c r="S70" s="76" t="e">
        <f>(R70-#REF!)/#REF!</f>
        <v>#REF!</v>
      </c>
    </row>
    <row r="71" spans="1:19" ht="15" x14ac:dyDescent="0.2">
      <c r="A71" s="135" t="s">
        <v>150</v>
      </c>
      <c r="B71" s="136" t="s">
        <v>40</v>
      </c>
      <c r="C71" s="138"/>
      <c r="D71" s="74">
        <f>D68*0.261/1000</f>
        <v>0</v>
      </c>
      <c r="E71" s="77" t="s">
        <v>89</v>
      </c>
      <c r="F71" s="72"/>
      <c r="G71" s="72"/>
    </row>
    <row r="72" spans="1:19" ht="27.75" customHeight="1" x14ac:dyDescent="0.25">
      <c r="A72" s="135" t="s">
        <v>151</v>
      </c>
      <c r="B72" s="273" t="s">
        <v>138</v>
      </c>
      <c r="C72" s="273"/>
      <c r="D72" s="74"/>
      <c r="E72" s="67" t="s">
        <v>21</v>
      </c>
      <c r="F72" s="150"/>
      <c r="G72" s="150"/>
      <c r="H72" s="150"/>
      <c r="I72" s="150"/>
      <c r="J72"/>
    </row>
    <row r="73" spans="1:19" ht="15.75" x14ac:dyDescent="0.2">
      <c r="A73" s="108"/>
      <c r="B73" s="107"/>
      <c r="D73" s="74"/>
      <c r="E73" s="67"/>
    </row>
    <row r="74" spans="1:19" ht="22.5" x14ac:dyDescent="0.2">
      <c r="B74" s="287" t="s">
        <v>50</v>
      </c>
      <c r="C74" s="287"/>
      <c r="D74" s="75" t="s">
        <v>153</v>
      </c>
      <c r="E74" s="288" t="s">
        <v>54</v>
      </c>
      <c r="F74" s="288"/>
      <c r="G74" s="75" t="s">
        <v>153</v>
      </c>
    </row>
    <row r="75" spans="1:19" x14ac:dyDescent="0.2">
      <c r="B75" s="47" t="s">
        <v>179</v>
      </c>
      <c r="C75" s="78"/>
      <c r="D75" s="160">
        <f>(C75-'2016'!C75)/'2016'!C75</f>
        <v>-1</v>
      </c>
      <c r="E75" s="47" t="s">
        <v>55</v>
      </c>
      <c r="F75" s="78"/>
      <c r="G75" s="160">
        <f>(F75-'2016'!F75)/'2016'!F75</f>
        <v>-1</v>
      </c>
      <c r="K75" s="56"/>
    </row>
    <row r="76" spans="1:19" x14ac:dyDescent="0.2">
      <c r="B76" s="47" t="s">
        <v>51</v>
      </c>
      <c r="C76" s="78"/>
      <c r="D76" s="160">
        <f>(C76-'2016'!C76)/'2016'!C76</f>
        <v>-1</v>
      </c>
      <c r="E76" s="47" t="s">
        <v>57</v>
      </c>
      <c r="F76" s="78"/>
      <c r="G76" s="160">
        <f>(F76-'2016'!F76)/'2016'!F76</f>
        <v>-1</v>
      </c>
    </row>
    <row r="77" spans="1:19" x14ac:dyDescent="0.2">
      <c r="B77" s="47" t="s">
        <v>52</v>
      </c>
      <c r="C77" s="78"/>
      <c r="D77" s="160">
        <f>(C77-'2016'!C77)/'2016'!C77</f>
        <v>-1</v>
      </c>
      <c r="E77" s="47" t="s">
        <v>56</v>
      </c>
      <c r="F77" s="78"/>
      <c r="G77" s="160">
        <f>(F77-'2016'!F77)/'2016'!F77</f>
        <v>-1</v>
      </c>
    </row>
    <row r="78" spans="1:19" x14ac:dyDescent="0.2">
      <c r="B78" s="47" t="s">
        <v>53</v>
      </c>
      <c r="C78" s="78"/>
      <c r="D78" s="160"/>
      <c r="E78" s="79" t="s">
        <v>76</v>
      </c>
      <c r="F78" s="80">
        <f>SUM(F75:F77)</f>
        <v>0</v>
      </c>
      <c r="G78" s="160">
        <f>(F78-'2016'!F78)/'2016'!F78</f>
        <v>-1</v>
      </c>
    </row>
    <row r="79" spans="1:19" x14ac:dyDescent="0.2">
      <c r="B79" s="79" t="s">
        <v>76</v>
      </c>
      <c r="C79" s="80">
        <f>SUM(C75:C78)</f>
        <v>0</v>
      </c>
      <c r="D79" s="160">
        <f>(C79-'2016'!C79)/'2016'!C79</f>
        <v>-1</v>
      </c>
      <c r="G79" s="76"/>
    </row>
    <row r="80" spans="1:19" ht="13.5" customHeight="1" x14ac:dyDescent="0.2"/>
    <row r="81" spans="2:7" ht="13.5" customHeight="1" x14ac:dyDescent="0.2">
      <c r="B81" s="79"/>
      <c r="C81" s="80"/>
      <c r="D81" s="76"/>
    </row>
    <row r="82" spans="2:7" ht="13.5" customHeight="1" x14ac:dyDescent="0.25">
      <c r="B82" s="2" t="s">
        <v>131</v>
      </c>
      <c r="C82" s="80"/>
      <c r="D82" s="76"/>
    </row>
    <row r="83" spans="2:7" ht="13.5" customHeight="1" x14ac:dyDescent="0.25">
      <c r="B83" s="2"/>
      <c r="C83" s="80"/>
      <c r="D83" s="76"/>
    </row>
    <row r="84" spans="2:7" ht="30.75" thickBot="1" x14ac:dyDescent="0.35">
      <c r="B84" s="139" t="s">
        <v>154</v>
      </c>
      <c r="C84" s="96" t="s">
        <v>44</v>
      </c>
      <c r="D84" s="96"/>
      <c r="E84" s="96"/>
      <c r="F84" s="96"/>
      <c r="G84" s="81" t="s">
        <v>153</v>
      </c>
    </row>
    <row r="85" spans="2:7" ht="30.75" customHeight="1" thickTop="1" x14ac:dyDescent="0.2">
      <c r="B85" s="123" t="s">
        <v>44</v>
      </c>
      <c r="C85" s="277" t="s">
        <v>78</v>
      </c>
      <c r="D85" s="277"/>
      <c r="E85" s="113">
        <f>IF(D68=0,0,D68/$G$67)</f>
        <v>0</v>
      </c>
      <c r="F85" s="114" t="s">
        <v>70</v>
      </c>
      <c r="G85" s="141">
        <f>IF(E85=0,0,(E85-'2016'!E85)/'2016'!E85)</f>
        <v>0</v>
      </c>
    </row>
    <row r="86" spans="2:7" ht="15.75" customHeight="1" thickBot="1" x14ac:dyDescent="0.3">
      <c r="B86" s="122"/>
      <c r="C86" s="96" t="s">
        <v>46</v>
      </c>
      <c r="D86" s="96"/>
      <c r="E86" s="96"/>
      <c r="F86" s="96"/>
      <c r="G86" s="142"/>
    </row>
    <row r="87" spans="2:7" ht="26.25" customHeight="1" thickTop="1" x14ac:dyDescent="0.2">
      <c r="B87" s="124" t="s">
        <v>46</v>
      </c>
      <c r="C87" s="277" t="s">
        <v>79</v>
      </c>
      <c r="D87" s="277"/>
      <c r="E87" s="113">
        <f>IF(D67=0,0,D67/$G$67)</f>
        <v>0</v>
      </c>
      <c r="F87" s="114" t="s">
        <v>70</v>
      </c>
      <c r="G87" s="141">
        <f>IF(E87=0,0,(E87-'2016'!E87)/'2016'!E87)</f>
        <v>0</v>
      </c>
    </row>
    <row r="88" spans="2:7" ht="15.75" customHeight="1" thickBot="1" x14ac:dyDescent="0.3">
      <c r="B88" s="97"/>
      <c r="C88" s="96" t="s">
        <v>47</v>
      </c>
      <c r="D88" s="96"/>
      <c r="E88" s="96"/>
      <c r="F88" s="96"/>
      <c r="G88" s="142"/>
    </row>
    <row r="89" spans="2:7" ht="30.75" customHeight="1" thickTop="1" x14ac:dyDescent="0.2">
      <c r="B89" s="125" t="s">
        <v>108</v>
      </c>
      <c r="C89" s="277" t="s">
        <v>156</v>
      </c>
      <c r="D89" s="277"/>
      <c r="E89" s="115">
        <f>IF(D68=0,0,D68/F78)</f>
        <v>0</v>
      </c>
      <c r="F89" s="114" t="s">
        <v>165</v>
      </c>
      <c r="G89" s="141">
        <f>IF(E89=0,0,(E89-'2016'!E89)/'2016'!E89)</f>
        <v>0</v>
      </c>
    </row>
    <row r="90" spans="2:7" ht="26.25" customHeight="1" x14ac:dyDescent="0.2">
      <c r="B90" s="126" t="s">
        <v>109</v>
      </c>
      <c r="C90" s="277" t="s">
        <v>157</v>
      </c>
      <c r="D90" s="277"/>
      <c r="E90" s="113">
        <f>IF(D68=0,0,D68/G70)</f>
        <v>0</v>
      </c>
      <c r="F90" s="114" t="s">
        <v>165</v>
      </c>
      <c r="G90" s="141"/>
    </row>
    <row r="91" spans="2:7" ht="15.75" thickBot="1" x14ac:dyDescent="0.3">
      <c r="B91" s="97"/>
      <c r="C91" s="96" t="s">
        <v>90</v>
      </c>
      <c r="D91" s="96"/>
      <c r="E91" s="96"/>
      <c r="F91" s="96"/>
      <c r="G91" s="142"/>
    </row>
    <row r="92" spans="2:7" ht="30.75" customHeight="1" thickTop="1" x14ac:dyDescent="0.2">
      <c r="B92" s="127" t="s">
        <v>90</v>
      </c>
      <c r="C92" s="289" t="s">
        <v>72</v>
      </c>
      <c r="D92" s="289"/>
      <c r="E92" s="116">
        <f>IF(D69=0,0,D69/$G$67)</f>
        <v>0</v>
      </c>
      <c r="F92" s="117" t="s">
        <v>87</v>
      </c>
      <c r="G92" s="141">
        <f>IF(E92=0,0,(E92-'2016'!E92)/'2016'!E92)</f>
        <v>0</v>
      </c>
    </row>
    <row r="93" spans="2:7" ht="25.5" customHeight="1" thickBot="1" x14ac:dyDescent="0.3">
      <c r="B93" s="122"/>
      <c r="C93" s="96" t="s">
        <v>91</v>
      </c>
      <c r="D93" s="96"/>
      <c r="E93" s="96"/>
      <c r="F93" s="96"/>
      <c r="G93" s="142"/>
    </row>
    <row r="94" spans="2:7" ht="15.75" customHeight="1" thickTop="1" x14ac:dyDescent="0.2">
      <c r="B94" s="127" t="s">
        <v>91</v>
      </c>
      <c r="C94" s="289" t="s">
        <v>73</v>
      </c>
      <c r="D94" s="289"/>
      <c r="E94" s="116">
        <f>IF(D70=0,0,D70/$G$67)</f>
        <v>0</v>
      </c>
      <c r="F94" s="117" t="s">
        <v>71</v>
      </c>
      <c r="G94" s="141">
        <f>IF(E94=0,0,(E94-'2016'!E94)/'2016'!E94)</f>
        <v>0</v>
      </c>
    </row>
    <row r="95" spans="2:7" ht="13.5" customHeight="1" thickBot="1" x14ac:dyDescent="0.3">
      <c r="B95" s="122"/>
      <c r="C95" s="96" t="s">
        <v>92</v>
      </c>
      <c r="D95" s="96"/>
      <c r="E95" s="96"/>
      <c r="F95" s="96"/>
      <c r="G95" s="142"/>
    </row>
    <row r="96" spans="2:7" ht="29.25" customHeight="1" thickTop="1" x14ac:dyDescent="0.2">
      <c r="B96" s="127" t="s">
        <v>92</v>
      </c>
      <c r="C96" s="289" t="s">
        <v>74</v>
      </c>
      <c r="D96" s="289"/>
      <c r="E96" s="116">
        <f>IF(D71=0,0,D71/$G$67)</f>
        <v>0</v>
      </c>
      <c r="F96" s="117" t="s">
        <v>71</v>
      </c>
      <c r="G96" s="141">
        <f>IF(E96=0,0,(E96-'2016'!E96)/'2016'!E96)</f>
        <v>0</v>
      </c>
    </row>
    <row r="97" spans="2:8" ht="15.75" thickBot="1" x14ac:dyDescent="0.3">
      <c r="B97" s="122"/>
      <c r="C97" s="96" t="s">
        <v>93</v>
      </c>
      <c r="D97" s="96"/>
      <c r="E97" s="96"/>
      <c r="F97" s="96"/>
      <c r="G97" s="142"/>
    </row>
    <row r="98" spans="2:8" ht="13.5" customHeight="1" thickTop="1" x14ac:dyDescent="0.2">
      <c r="B98" s="128" t="s">
        <v>110</v>
      </c>
      <c r="C98" s="289" t="s">
        <v>158</v>
      </c>
      <c r="D98" s="289"/>
      <c r="E98" s="116">
        <f>IF(D69=0,0,D69/$F$78)</f>
        <v>0</v>
      </c>
      <c r="F98" s="117" t="s">
        <v>166</v>
      </c>
      <c r="G98" s="141">
        <f>IF(E98=0,0,(E98-'2016'!E98)/'2016'!E98)</f>
        <v>0</v>
      </c>
      <c r="H98" s="99"/>
    </row>
    <row r="99" spans="2:8" ht="28.5" customHeight="1" x14ac:dyDescent="0.2">
      <c r="B99" s="129" t="s">
        <v>111</v>
      </c>
      <c r="C99" s="289" t="s">
        <v>159</v>
      </c>
      <c r="D99" s="289"/>
      <c r="E99" s="116" t="e">
        <f>D69/$G$70</f>
        <v>#DIV/0!</v>
      </c>
      <c r="F99" s="117" t="s">
        <v>86</v>
      </c>
      <c r="G99" s="141"/>
      <c r="H99" s="95"/>
    </row>
    <row r="100" spans="2:8" ht="15.75" thickBot="1" x14ac:dyDescent="0.3">
      <c r="B100" s="122"/>
      <c r="C100" s="96" t="s">
        <v>94</v>
      </c>
      <c r="D100" s="96"/>
      <c r="E100" s="96"/>
      <c r="F100" s="96"/>
      <c r="G100" s="142"/>
    </row>
    <row r="101" spans="2:8" ht="13.5" customHeight="1" thickTop="1" x14ac:dyDescent="0.2">
      <c r="B101" s="128" t="s">
        <v>112</v>
      </c>
      <c r="C101" s="289" t="s">
        <v>160</v>
      </c>
      <c r="D101" s="289"/>
      <c r="E101" s="116">
        <f>IF(D70=0,0,D70/$F$78)</f>
        <v>0</v>
      </c>
      <c r="F101" s="117" t="s">
        <v>167</v>
      </c>
      <c r="G101" s="141">
        <f>IF(E101=0,0,(E101-'2016'!E101)/'2016'!E101)</f>
        <v>0</v>
      </c>
    </row>
    <row r="102" spans="2:8" ht="26.25" customHeight="1" x14ac:dyDescent="0.2">
      <c r="B102" s="129" t="s">
        <v>113</v>
      </c>
      <c r="C102" s="289" t="s">
        <v>164</v>
      </c>
      <c r="D102" s="289"/>
      <c r="E102" s="116" t="e">
        <f>D70/$G$70</f>
        <v>#DIV/0!</v>
      </c>
      <c r="F102" s="117" t="s">
        <v>77</v>
      </c>
      <c r="G102" s="141"/>
    </row>
    <row r="103" spans="2:8" ht="13.5" customHeight="1" thickBot="1" x14ac:dyDescent="0.3">
      <c r="B103" s="122"/>
      <c r="C103" s="96" t="s">
        <v>95</v>
      </c>
      <c r="D103" s="96"/>
      <c r="E103" s="96"/>
      <c r="F103" s="96"/>
      <c r="G103" s="142"/>
    </row>
    <row r="104" spans="2:8" ht="33.75" customHeight="1" thickTop="1" x14ac:dyDescent="0.2">
      <c r="B104" s="128" t="s">
        <v>114</v>
      </c>
      <c r="C104" s="289" t="s">
        <v>161</v>
      </c>
      <c r="D104" s="289"/>
      <c r="E104" s="116">
        <f>IF(D71=0,0,D71/$F$78)</f>
        <v>0</v>
      </c>
      <c r="F104" s="117" t="s">
        <v>167</v>
      </c>
      <c r="G104" s="141">
        <f>IF(E104=0,0,(E104-'2016'!E104)/'2016'!E104)</f>
        <v>0</v>
      </c>
    </row>
    <row r="105" spans="2:8" ht="29.25" customHeight="1" x14ac:dyDescent="0.2">
      <c r="B105" s="129" t="s">
        <v>115</v>
      </c>
      <c r="C105" s="289" t="s">
        <v>162</v>
      </c>
      <c r="D105" s="289"/>
      <c r="E105" s="116" t="e">
        <f>D71/G70</f>
        <v>#DIV/0!</v>
      </c>
      <c r="F105" s="117" t="s">
        <v>77</v>
      </c>
      <c r="G105" s="143"/>
    </row>
    <row r="106" spans="2:8" ht="15.75" thickBot="1" x14ac:dyDescent="0.3">
      <c r="B106" s="122"/>
      <c r="C106" s="96" t="s">
        <v>96</v>
      </c>
      <c r="D106" s="96"/>
      <c r="E106" s="96"/>
      <c r="F106" s="96"/>
      <c r="G106" s="142"/>
    </row>
    <row r="107" spans="2:8" ht="30" customHeight="1" thickTop="1" x14ac:dyDescent="0.2">
      <c r="B107" s="124" t="s">
        <v>96</v>
      </c>
      <c r="C107" s="277" t="s">
        <v>99</v>
      </c>
      <c r="D107" s="277"/>
      <c r="E107" s="113">
        <f>IF(C34=0,0,C34/G67)*1000</f>
        <v>0</v>
      </c>
      <c r="F107" s="114" t="s">
        <v>100</v>
      </c>
      <c r="G107" s="141">
        <f>IF(E107=0,0,(E107-'2016'!E107)/'2016'!E107)</f>
        <v>0</v>
      </c>
    </row>
    <row r="108" spans="2:8" ht="15.75" thickBot="1" x14ac:dyDescent="0.3">
      <c r="B108" s="122"/>
      <c r="C108" s="96" t="s">
        <v>97</v>
      </c>
      <c r="D108" s="96"/>
      <c r="E108" s="96"/>
      <c r="F108" s="96"/>
      <c r="G108" s="142"/>
    </row>
    <row r="109" spans="2:8" ht="15.75" thickTop="1" x14ac:dyDescent="0.2">
      <c r="B109" s="125" t="s">
        <v>142</v>
      </c>
      <c r="C109" s="277" t="s">
        <v>155</v>
      </c>
      <c r="D109" s="277"/>
      <c r="E109" s="113" t="e">
        <f>C34/F78</f>
        <v>#DIV/0!</v>
      </c>
      <c r="F109" s="114" t="s">
        <v>170</v>
      </c>
      <c r="G109" s="141" t="e">
        <f>IF(E109=0,0,(E109-'2016'!E109)/'2016'!E109)</f>
        <v>#DIV/0!</v>
      </c>
    </row>
    <row r="110" spans="2:8" ht="33" customHeight="1" x14ac:dyDescent="0.2">
      <c r="B110" s="126" t="s">
        <v>143</v>
      </c>
      <c r="C110" s="277" t="s">
        <v>163</v>
      </c>
      <c r="D110" s="277"/>
      <c r="E110" s="113">
        <f>IF(C47=0,0,C47/$G$67)*1000</f>
        <v>0</v>
      </c>
      <c r="F110" s="114" t="s">
        <v>101</v>
      </c>
      <c r="G110" s="144"/>
    </row>
    <row r="111" spans="2:8" ht="18" customHeight="1" thickBot="1" x14ac:dyDescent="0.3">
      <c r="B111" s="122"/>
      <c r="C111" s="96" t="s">
        <v>98</v>
      </c>
      <c r="D111" s="96"/>
      <c r="E111" s="96"/>
      <c r="F111" s="96"/>
      <c r="G111" s="142"/>
    </row>
    <row r="112" spans="2:8" ht="22.5" customHeight="1" thickTop="1" x14ac:dyDescent="0.2">
      <c r="B112" s="130" t="s">
        <v>98</v>
      </c>
      <c r="C112" s="291" t="s">
        <v>132</v>
      </c>
      <c r="D112" s="291"/>
      <c r="E112" s="118">
        <f>J36/G67</f>
        <v>0</v>
      </c>
      <c r="F112" s="119" t="s">
        <v>171</v>
      </c>
      <c r="G112" s="141">
        <f>IF(E112=0,0,(E112-'2016'!E112)/'2016'!E112)</f>
        <v>0</v>
      </c>
    </row>
    <row r="113" spans="2:7" ht="15.75" thickBot="1" x14ac:dyDescent="0.3">
      <c r="B113" s="122"/>
      <c r="C113" s="96" t="s">
        <v>102</v>
      </c>
      <c r="D113" s="96"/>
      <c r="E113" s="96"/>
      <c r="F113" s="96"/>
      <c r="G113" s="142"/>
    </row>
    <row r="114" spans="2:7" ht="19.5" customHeight="1" thickTop="1" x14ac:dyDescent="0.2">
      <c r="B114" s="130" t="s">
        <v>102</v>
      </c>
      <c r="C114" s="291" t="s">
        <v>172</v>
      </c>
      <c r="D114" s="291"/>
      <c r="E114" s="118">
        <f>J37/G67</f>
        <v>0</v>
      </c>
      <c r="F114" s="119" t="s">
        <v>83</v>
      </c>
      <c r="G114" s="141">
        <f>IF(E114=0,0,(E114-'2016'!E114)/'2016'!E114)</f>
        <v>0</v>
      </c>
    </row>
    <row r="115" spans="2:7" ht="12.75" customHeight="1" thickBot="1" x14ac:dyDescent="0.3">
      <c r="B115" s="122"/>
      <c r="C115" s="96" t="s">
        <v>103</v>
      </c>
      <c r="D115" s="96"/>
      <c r="E115" s="96"/>
      <c r="F115" s="96"/>
      <c r="G115" s="142"/>
    </row>
    <row r="116" spans="2:7" ht="30" customHeight="1" thickTop="1" x14ac:dyDescent="0.2">
      <c r="B116" s="131" t="s">
        <v>177</v>
      </c>
      <c r="C116" s="291" t="s">
        <v>173</v>
      </c>
      <c r="D116" s="291"/>
      <c r="E116" s="118" t="e">
        <f>J36/F78</f>
        <v>#DIV/0!</v>
      </c>
      <c r="F116" s="119" t="s">
        <v>168</v>
      </c>
      <c r="G116" s="141" t="e">
        <f>IF(E116=0,0,(E116-'2016'!E116)/'2016'!E116)</f>
        <v>#DIV/0!</v>
      </c>
    </row>
    <row r="117" spans="2:7" ht="27" customHeight="1" x14ac:dyDescent="0.2">
      <c r="B117" s="132" t="s">
        <v>178</v>
      </c>
      <c r="C117" s="291" t="s">
        <v>174</v>
      </c>
      <c r="D117" s="291"/>
      <c r="E117" s="118" t="e">
        <f>J36/G70</f>
        <v>#DIV/0!</v>
      </c>
      <c r="F117" s="119" t="s">
        <v>84</v>
      </c>
      <c r="G117" s="141" t="e">
        <f>IF(E117=0,0,(E117-'2016'!E117)/'2016'!E117)</f>
        <v>#DIV/0!</v>
      </c>
    </row>
    <row r="118" spans="2:7" ht="15.75" thickBot="1" x14ac:dyDescent="0.3">
      <c r="B118" s="122"/>
      <c r="C118" s="96" t="s">
        <v>104</v>
      </c>
      <c r="D118" s="96"/>
      <c r="E118" s="96"/>
      <c r="F118" s="96"/>
      <c r="G118" s="142"/>
    </row>
    <row r="119" spans="2:7" ht="13.5" customHeight="1" thickTop="1" x14ac:dyDescent="0.2">
      <c r="B119" s="131" t="s">
        <v>144</v>
      </c>
      <c r="C119" s="291" t="s">
        <v>175</v>
      </c>
      <c r="D119" s="291"/>
      <c r="E119" s="118" t="e">
        <f>J37/F78</f>
        <v>#DIV/0!</v>
      </c>
      <c r="F119" s="119" t="s">
        <v>168</v>
      </c>
      <c r="G119" s="141" t="e">
        <f>IF(E119=0,0,(E119-'2016'!E119)/'2016'!E119)</f>
        <v>#DIV/0!</v>
      </c>
    </row>
    <row r="120" spans="2:7" ht="27" customHeight="1" x14ac:dyDescent="0.2">
      <c r="B120" s="132" t="s">
        <v>145</v>
      </c>
      <c r="C120" s="291" t="s">
        <v>176</v>
      </c>
      <c r="D120" s="291"/>
      <c r="E120" s="118" t="e">
        <f>J37/G70</f>
        <v>#DIV/0!</v>
      </c>
      <c r="F120" s="119" t="s">
        <v>84</v>
      </c>
      <c r="G120" s="141" t="e">
        <f>IF(E120=0,0,(E120-'2016'!E120)/'2016'!E120)</f>
        <v>#DIV/0!</v>
      </c>
    </row>
    <row r="121" spans="2:7" ht="15.75" thickBot="1" x14ac:dyDescent="0.3">
      <c r="B121" s="122"/>
      <c r="C121" s="96" t="s">
        <v>140</v>
      </c>
      <c r="D121" s="96"/>
      <c r="E121" s="96"/>
      <c r="F121" s="96"/>
      <c r="G121" s="142"/>
    </row>
    <row r="122" spans="2:7" ht="37.5" customHeight="1" thickTop="1" x14ac:dyDescent="0.2">
      <c r="B122" s="130" t="s">
        <v>140</v>
      </c>
      <c r="C122" s="290" t="s">
        <v>141</v>
      </c>
      <c r="D122" s="290"/>
      <c r="E122" s="133" t="e">
        <f>D72/C15</f>
        <v>#DIV/0!</v>
      </c>
      <c r="F122" s="134"/>
      <c r="G122" s="141" t="e">
        <f>IF(E122=0,0,(E122-'2016'!E122)/'2016'!E122)</f>
        <v>#DIV/0!</v>
      </c>
    </row>
    <row r="123" spans="2:7" x14ac:dyDescent="0.2">
      <c r="E123" s="58"/>
    </row>
    <row r="124" spans="2:7" x14ac:dyDescent="0.2">
      <c r="E124" s="58"/>
    </row>
    <row r="125" spans="2:7" x14ac:dyDescent="0.2">
      <c r="E125" s="58"/>
    </row>
    <row r="126" spans="2:7" x14ac:dyDescent="0.2">
      <c r="E126" s="58"/>
    </row>
  </sheetData>
  <mergeCells count="43">
    <mergeCell ref="C122:D122"/>
    <mergeCell ref="C112:D112"/>
    <mergeCell ref="C114:D114"/>
    <mergeCell ref="C116:D116"/>
    <mergeCell ref="C117:D117"/>
    <mergeCell ref="C119:D119"/>
    <mergeCell ref="C120:D120"/>
    <mergeCell ref="C110:D110"/>
    <mergeCell ref="C92:D92"/>
    <mergeCell ref="C94:D94"/>
    <mergeCell ref="C96:D96"/>
    <mergeCell ref="C98:D98"/>
    <mergeCell ref="C99:D99"/>
    <mergeCell ref="C101:D101"/>
    <mergeCell ref="C102:D102"/>
    <mergeCell ref="C104:D104"/>
    <mergeCell ref="C105:D105"/>
    <mergeCell ref="C107:D107"/>
    <mergeCell ref="C109:D109"/>
    <mergeCell ref="C90:D90"/>
    <mergeCell ref="E60:F60"/>
    <mergeCell ref="B61:B63"/>
    <mergeCell ref="C61:C63"/>
    <mergeCell ref="D61:D63"/>
    <mergeCell ref="B74:C74"/>
    <mergeCell ref="E74:F74"/>
    <mergeCell ref="C85:D85"/>
    <mergeCell ref="C87:D87"/>
    <mergeCell ref="C89:D89"/>
    <mergeCell ref="P67:R67"/>
    <mergeCell ref="B72:C72"/>
    <mergeCell ref="C29:F29"/>
    <mergeCell ref="E31:F31"/>
    <mergeCell ref="E43:F43"/>
    <mergeCell ref="C46:D46"/>
    <mergeCell ref="E48:F48"/>
    <mergeCell ref="H48:I48"/>
    <mergeCell ref="H20:I20"/>
    <mergeCell ref="A9:C9"/>
    <mergeCell ref="C12:F12"/>
    <mergeCell ref="E14:F14"/>
    <mergeCell ref="C18:F18"/>
    <mergeCell ref="E20:F20"/>
  </mergeCells>
  <conditionalFormatting sqref="D75:D79">
    <cfRule type="cellIs" dxfId="126" priority="20" operator="lessThan">
      <formula>0</formula>
    </cfRule>
  </conditionalFormatting>
  <conditionalFormatting sqref="G75:G78">
    <cfRule type="cellIs" dxfId="125" priority="19" operator="lessThan">
      <formula>0</formula>
    </cfRule>
  </conditionalFormatting>
  <conditionalFormatting sqref="G85">
    <cfRule type="cellIs" dxfId="124" priority="18" operator="lessThan">
      <formula>0</formula>
    </cfRule>
  </conditionalFormatting>
  <conditionalFormatting sqref="G87">
    <cfRule type="cellIs" dxfId="123" priority="17" operator="lessThan">
      <formula>0</formula>
    </cfRule>
  </conditionalFormatting>
  <conditionalFormatting sqref="G89">
    <cfRule type="cellIs" dxfId="122" priority="16" operator="lessThan">
      <formula>0</formula>
    </cfRule>
  </conditionalFormatting>
  <conditionalFormatting sqref="G92">
    <cfRule type="cellIs" dxfId="121" priority="15" operator="lessThan">
      <formula>0</formula>
    </cfRule>
  </conditionalFormatting>
  <conditionalFormatting sqref="G94">
    <cfRule type="cellIs" dxfId="120" priority="14" operator="lessThan">
      <formula>0</formula>
    </cfRule>
  </conditionalFormatting>
  <conditionalFormatting sqref="G96">
    <cfRule type="cellIs" dxfId="119" priority="13" operator="lessThan">
      <formula>0</formula>
    </cfRule>
  </conditionalFormatting>
  <conditionalFormatting sqref="G98">
    <cfRule type="cellIs" dxfId="118" priority="12" operator="lessThan">
      <formula>0</formula>
    </cfRule>
  </conditionalFormatting>
  <conditionalFormatting sqref="G101">
    <cfRule type="cellIs" dxfId="117" priority="11" operator="lessThan">
      <formula>0</formula>
    </cfRule>
  </conditionalFormatting>
  <conditionalFormatting sqref="G104">
    <cfRule type="cellIs" dxfId="116" priority="10" operator="lessThan">
      <formula>0</formula>
    </cfRule>
  </conditionalFormatting>
  <conditionalFormatting sqref="G107">
    <cfRule type="cellIs" dxfId="115" priority="9" operator="lessThan">
      <formula>0</formula>
    </cfRule>
  </conditionalFormatting>
  <conditionalFormatting sqref="G109">
    <cfRule type="cellIs" dxfId="114" priority="8" operator="lessThan">
      <formula>0</formula>
    </cfRule>
  </conditionalFormatting>
  <conditionalFormatting sqref="G112">
    <cfRule type="cellIs" dxfId="113" priority="7" operator="lessThan">
      <formula>0</formula>
    </cfRule>
  </conditionalFormatting>
  <conditionalFormatting sqref="G114">
    <cfRule type="cellIs" dxfId="112" priority="6" operator="lessThan">
      <formula>0</formula>
    </cfRule>
  </conditionalFormatting>
  <conditionalFormatting sqref="G116">
    <cfRule type="cellIs" dxfId="111" priority="5" operator="lessThan">
      <formula>0</formula>
    </cfRule>
  </conditionalFormatting>
  <conditionalFormatting sqref="G117">
    <cfRule type="cellIs" dxfId="110" priority="4" operator="lessThan">
      <formula>0</formula>
    </cfRule>
  </conditionalFormatting>
  <conditionalFormatting sqref="G119">
    <cfRule type="cellIs" dxfId="109" priority="3" operator="lessThan">
      <formula>0</formula>
    </cfRule>
  </conditionalFormatting>
  <conditionalFormatting sqref="G120">
    <cfRule type="cellIs" dxfId="108" priority="2" operator="lessThan">
      <formula>0</formula>
    </cfRule>
  </conditionalFormatting>
  <conditionalFormatting sqref="G122">
    <cfRule type="cellIs" dxfId="107" priority="1" operator="lessThan">
      <formula>0</formula>
    </cfRule>
  </conditionalFormatting>
  <hyperlinks>
    <hyperlink ref="B3" r:id="rId1"/>
  </hyperlinks>
  <pageMargins left="0.70866141732283472" right="0.21" top="0.41" bottom="0.74803149606299213" header="0.31496062992125984" footer="0.31496062992125984"/>
  <pageSetup paperSize="9" scale="78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opLeftCell="A58" zoomScaleNormal="100" zoomScaleSheetLayoutView="100" workbookViewId="0">
      <selection activeCell="E98" sqref="E98"/>
    </sheetView>
  </sheetViews>
  <sheetFormatPr baseColWidth="10" defaultRowHeight="12.75" x14ac:dyDescent="0.2"/>
  <cols>
    <col min="1" max="1" width="11.42578125" style="1"/>
    <col min="2" max="3" width="22.5703125" style="1" customWidth="1"/>
    <col min="4" max="4" width="19" style="1" customWidth="1"/>
    <col min="5" max="5" width="10.42578125" style="1" bestFit="1" customWidth="1"/>
    <col min="6" max="6" width="16.85546875" style="1" customWidth="1"/>
    <col min="7" max="7" width="20.7109375" style="1" customWidth="1"/>
    <col min="8" max="8" width="7" style="1" bestFit="1" customWidth="1"/>
    <col min="9" max="9" width="18.85546875" style="1" customWidth="1"/>
    <col min="10" max="10" width="18.85546875" style="1" bestFit="1" customWidth="1"/>
    <col min="11" max="11" width="9" style="1" bestFit="1" customWidth="1"/>
    <col min="12" max="12" width="23.140625" style="1" bestFit="1" customWidth="1"/>
    <col min="13" max="13" width="13.85546875" style="1" bestFit="1" customWidth="1"/>
    <col min="14" max="14" width="8" style="1" bestFit="1" customWidth="1"/>
    <col min="15" max="15" width="7.28515625" style="1" bestFit="1" customWidth="1"/>
    <col min="16" max="16" width="11.5703125" style="1" bestFit="1" customWidth="1"/>
    <col min="17" max="16384" width="11.42578125" style="1"/>
  </cols>
  <sheetData>
    <row r="1" spans="1:7" ht="30" x14ac:dyDescent="0.4">
      <c r="A1" s="102" t="s">
        <v>68</v>
      </c>
    </row>
    <row r="2" spans="1:7" ht="15.75" x14ac:dyDescent="0.25">
      <c r="A2" s="104" t="s">
        <v>63</v>
      </c>
      <c r="B2" s="103" t="s">
        <v>64</v>
      </c>
      <c r="C2" s="103"/>
      <c r="D2" s="103"/>
      <c r="E2" s="103"/>
      <c r="F2" s="103"/>
    </row>
    <row r="3" spans="1:7" ht="15.75" x14ac:dyDescent="0.25">
      <c r="A3" s="103"/>
      <c r="B3" s="105" t="s">
        <v>65</v>
      </c>
      <c r="C3" s="103"/>
      <c r="D3" s="103"/>
      <c r="E3" s="103"/>
      <c r="F3" s="103"/>
    </row>
    <row r="4" spans="1:7" ht="15.75" x14ac:dyDescent="0.25">
      <c r="A4" s="103"/>
      <c r="B4" s="103" t="s">
        <v>128</v>
      </c>
      <c r="C4" s="103"/>
      <c r="D4" s="103"/>
      <c r="E4" s="103"/>
      <c r="F4" s="103"/>
    </row>
    <row r="5" spans="1:7" ht="15.75" x14ac:dyDescent="0.25">
      <c r="A5" s="103"/>
      <c r="B5" s="103" t="s">
        <v>69</v>
      </c>
      <c r="C5" s="103"/>
      <c r="D5" s="103"/>
      <c r="E5" s="103"/>
      <c r="F5" s="103"/>
    </row>
    <row r="6" spans="1:7" ht="15.75" x14ac:dyDescent="0.25">
      <c r="A6" s="103"/>
      <c r="B6" s="103" t="s">
        <v>66</v>
      </c>
      <c r="C6" s="103"/>
      <c r="D6" s="103"/>
      <c r="E6" s="103"/>
      <c r="F6" s="103"/>
    </row>
    <row r="7" spans="1:7" ht="15.75" x14ac:dyDescent="0.25">
      <c r="A7" s="103"/>
      <c r="B7" s="103" t="s">
        <v>67</v>
      </c>
      <c r="C7" s="103"/>
      <c r="D7" s="103"/>
      <c r="E7" s="103"/>
      <c r="F7" s="103"/>
    </row>
    <row r="8" spans="1:7" ht="14.25" x14ac:dyDescent="0.2">
      <c r="B8" s="38"/>
      <c r="C8" s="38"/>
      <c r="D8" s="38"/>
      <c r="E8" s="38"/>
      <c r="F8" s="38"/>
    </row>
    <row r="9" spans="1:7" ht="21" x14ac:dyDescent="0.35">
      <c r="A9" s="268" t="s">
        <v>129</v>
      </c>
      <c r="B9" s="268"/>
      <c r="C9" s="268"/>
    </row>
    <row r="11" spans="1:7" ht="23.25" x14ac:dyDescent="0.35">
      <c r="A11" s="101" t="s">
        <v>25</v>
      </c>
    </row>
    <row r="12" spans="1:7" ht="15.75" x14ac:dyDescent="0.25">
      <c r="C12" s="269" t="s">
        <v>0</v>
      </c>
      <c r="D12" s="269"/>
      <c r="E12" s="269"/>
      <c r="F12" s="269"/>
    </row>
    <row r="13" spans="1:7" ht="13.5" thickBot="1" x14ac:dyDescent="0.25"/>
    <row r="14" spans="1:7" s="65" customFormat="1" ht="27" customHeight="1" thickBot="1" x14ac:dyDescent="0.3">
      <c r="C14" s="43" t="s">
        <v>20</v>
      </c>
      <c r="D14" s="42" t="s">
        <v>5</v>
      </c>
      <c r="E14" s="270" t="s">
        <v>1</v>
      </c>
      <c r="F14" s="270"/>
      <c r="G14" s="66" t="s">
        <v>85</v>
      </c>
    </row>
    <row r="15" spans="1:7" ht="16.5" thickBot="1" x14ac:dyDescent="0.3">
      <c r="B15" s="3" t="s">
        <v>48</v>
      </c>
      <c r="C15" s="149">
        <v>10420697</v>
      </c>
      <c r="D15" s="4" t="s">
        <v>21</v>
      </c>
      <c r="E15" s="5">
        <v>0.35699999999999998</v>
      </c>
      <c r="F15" s="6" t="s">
        <v>2</v>
      </c>
      <c r="G15" s="49">
        <f>C15*E15/1000</f>
        <v>3720.1888289999997</v>
      </c>
    </row>
    <row r="16" spans="1:7" ht="16.5" thickBot="1" x14ac:dyDescent="0.3">
      <c r="B16" s="3" t="s">
        <v>49</v>
      </c>
      <c r="C16" s="48"/>
      <c r="D16" s="4" t="s">
        <v>21</v>
      </c>
      <c r="E16" s="5">
        <v>0.35699999999999998</v>
      </c>
      <c r="F16" s="6" t="s">
        <v>2</v>
      </c>
      <c r="G16" s="49">
        <f>C16*E16</f>
        <v>0</v>
      </c>
    </row>
    <row r="17" spans="2:11" x14ac:dyDescent="0.2">
      <c r="G17" s="55">
        <f>SUM(G15:G16)</f>
        <v>3720.1888289999997</v>
      </c>
    </row>
    <row r="18" spans="2:11" ht="15.75" x14ac:dyDescent="0.25">
      <c r="C18" s="269" t="s">
        <v>3</v>
      </c>
      <c r="D18" s="269"/>
      <c r="E18" s="269"/>
      <c r="F18" s="269"/>
      <c r="G18" s="55"/>
    </row>
    <row r="19" spans="2:11" ht="13.5" thickBot="1" x14ac:dyDescent="0.25"/>
    <row r="20" spans="2:11" s="46" customFormat="1" ht="30.75" customHeight="1" thickBot="1" x14ac:dyDescent="0.3">
      <c r="B20" s="59" t="s">
        <v>4</v>
      </c>
      <c r="C20" s="60" t="s">
        <v>20</v>
      </c>
      <c r="D20" s="61" t="s">
        <v>5</v>
      </c>
      <c r="E20" s="266" t="s">
        <v>7</v>
      </c>
      <c r="F20" s="271"/>
      <c r="G20" s="63" t="s">
        <v>21</v>
      </c>
      <c r="H20" s="266" t="s">
        <v>1</v>
      </c>
      <c r="I20" s="267"/>
      <c r="J20" s="66" t="s">
        <v>85</v>
      </c>
    </row>
    <row r="21" spans="2:11" ht="15.75" x14ac:dyDescent="0.25">
      <c r="B21" s="11" t="s">
        <v>8</v>
      </c>
      <c r="C21" s="145">
        <v>291320</v>
      </c>
      <c r="D21" s="13" t="s">
        <v>24</v>
      </c>
      <c r="E21" s="14">
        <v>10.7056</v>
      </c>
      <c r="F21" s="15" t="s">
        <v>27</v>
      </c>
      <c r="G21" s="87">
        <f>C21*E21</f>
        <v>3118755.392</v>
      </c>
      <c r="H21" s="14">
        <v>0.252</v>
      </c>
      <c r="I21" s="14" t="s">
        <v>2</v>
      </c>
      <c r="J21" s="88">
        <f>G21*H21/1000</f>
        <v>785.92635878400006</v>
      </c>
    </row>
    <row r="22" spans="2:11" ht="15.75" x14ac:dyDescent="0.25">
      <c r="B22" s="16" t="s">
        <v>26</v>
      </c>
      <c r="C22" s="146">
        <f>3904+3921+3983</f>
        <v>11808</v>
      </c>
      <c r="D22" s="18" t="s">
        <v>9</v>
      </c>
      <c r="E22" s="19">
        <v>10.6</v>
      </c>
      <c r="F22" s="20" t="s">
        <v>10</v>
      </c>
      <c r="G22" s="87">
        <f t="shared" ref="G22:G26" si="0">C22*E22</f>
        <v>125164.8</v>
      </c>
      <c r="H22" s="19">
        <v>0.311</v>
      </c>
      <c r="I22" s="19" t="s">
        <v>2</v>
      </c>
      <c r="J22" s="88">
        <f t="shared" ref="J22:J26" si="1">G22*H22/1000</f>
        <v>38.9262528</v>
      </c>
    </row>
    <row r="23" spans="2:11" ht="26.25" x14ac:dyDescent="0.25">
      <c r="B23" s="16" t="s">
        <v>30</v>
      </c>
      <c r="C23" s="146">
        <v>15960</v>
      </c>
      <c r="D23" s="18" t="s">
        <v>11</v>
      </c>
      <c r="E23" s="19">
        <v>11.161099999999999</v>
      </c>
      <c r="F23" s="20" t="s">
        <v>12</v>
      </c>
      <c r="G23" s="87">
        <f t="shared" si="0"/>
        <v>178131.15599999999</v>
      </c>
      <c r="H23" s="19">
        <v>1.7999999999999999E-2</v>
      </c>
      <c r="I23" s="19" t="s">
        <v>2</v>
      </c>
      <c r="J23" s="88">
        <f t="shared" si="1"/>
        <v>3.2063608079999995</v>
      </c>
    </row>
    <row r="24" spans="2:11" ht="15.75" x14ac:dyDescent="0.25">
      <c r="B24" s="16" t="s">
        <v>31</v>
      </c>
      <c r="C24" s="146"/>
      <c r="D24" s="18" t="s">
        <v>11</v>
      </c>
      <c r="E24" s="19">
        <v>12.6389</v>
      </c>
      <c r="F24" s="20" t="s">
        <v>12</v>
      </c>
      <c r="G24" s="87">
        <f t="shared" si="0"/>
        <v>0</v>
      </c>
      <c r="H24" s="19">
        <v>0.254</v>
      </c>
      <c r="I24" s="19" t="s">
        <v>2</v>
      </c>
      <c r="J24" s="88">
        <f t="shared" si="1"/>
        <v>0</v>
      </c>
    </row>
    <row r="25" spans="2:11" ht="15.75" x14ac:dyDescent="0.25">
      <c r="B25" s="16" t="s">
        <v>28</v>
      </c>
      <c r="C25" s="146"/>
      <c r="D25" s="18" t="s">
        <v>11</v>
      </c>
      <c r="E25" s="19">
        <v>5.6971999999999996</v>
      </c>
      <c r="F25" s="20" t="s">
        <v>12</v>
      </c>
      <c r="G25" s="87">
        <f t="shared" si="0"/>
        <v>0</v>
      </c>
      <c r="H25" s="19">
        <v>0.47199999999999998</v>
      </c>
      <c r="I25" s="19" t="s">
        <v>2</v>
      </c>
      <c r="J25" s="88">
        <f t="shared" si="1"/>
        <v>0</v>
      </c>
    </row>
    <row r="26" spans="2:11" ht="15.75" x14ac:dyDescent="0.25">
      <c r="B26" s="16" t="s">
        <v>29</v>
      </c>
      <c r="C26" s="146"/>
      <c r="D26" s="18" t="s">
        <v>11</v>
      </c>
      <c r="E26" s="19">
        <v>7.0917000000000003</v>
      </c>
      <c r="F26" s="20" t="s">
        <v>12</v>
      </c>
      <c r="G26" s="87">
        <f t="shared" si="0"/>
        <v>0</v>
      </c>
      <c r="H26" s="19">
        <v>1.7999999999999999E-2</v>
      </c>
      <c r="I26" s="19" t="s">
        <v>2</v>
      </c>
      <c r="J26" s="88">
        <f t="shared" si="1"/>
        <v>0</v>
      </c>
    </row>
    <row r="27" spans="2:11" ht="16.5" thickBot="1" x14ac:dyDescent="0.3">
      <c r="B27" s="21"/>
      <c r="C27" s="147"/>
      <c r="D27" s="23"/>
      <c r="E27" s="24"/>
      <c r="F27" s="25"/>
      <c r="G27" s="93"/>
      <c r="H27" s="24"/>
      <c r="I27" s="24"/>
      <c r="J27" s="89">
        <f>SUM(J21:J26)</f>
        <v>828.0589723920001</v>
      </c>
    </row>
    <row r="28" spans="2:11" x14ac:dyDescent="0.2"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5.75" customHeight="1" x14ac:dyDescent="0.25">
      <c r="C29" s="269" t="s">
        <v>13</v>
      </c>
      <c r="D29" s="269"/>
      <c r="E29" s="269"/>
      <c r="F29" s="269"/>
      <c r="G29" s="26"/>
      <c r="H29" s="2" t="s">
        <v>81</v>
      </c>
      <c r="I29" s="26"/>
      <c r="J29" s="26"/>
      <c r="K29" s="26"/>
    </row>
    <row r="30" spans="2:11" ht="15.75" customHeight="1" thickBot="1" x14ac:dyDescent="0.3">
      <c r="C30" s="106"/>
      <c r="D30" s="106"/>
      <c r="E30" s="106"/>
      <c r="F30" s="106"/>
      <c r="G30" s="26"/>
      <c r="H30" s="2"/>
      <c r="I30" s="26"/>
      <c r="J30" s="26"/>
      <c r="K30" s="26"/>
    </row>
    <row r="31" spans="2:11" ht="39.75" customHeight="1" thickBot="1" x14ac:dyDescent="0.25">
      <c r="B31" s="27" t="s">
        <v>23</v>
      </c>
      <c r="C31" s="39" t="s">
        <v>20</v>
      </c>
      <c r="D31" s="42" t="s">
        <v>5</v>
      </c>
      <c r="E31" s="266" t="s">
        <v>6</v>
      </c>
      <c r="F31" s="271"/>
      <c r="G31" s="66" t="s">
        <v>85</v>
      </c>
      <c r="H31" s="26"/>
      <c r="I31" s="59"/>
      <c r="J31" s="60" t="s">
        <v>82</v>
      </c>
    </row>
    <row r="32" spans="2:11" ht="27" thickBot="1" x14ac:dyDescent="0.3">
      <c r="B32" s="28" t="s">
        <v>14</v>
      </c>
      <c r="C32" s="86"/>
      <c r="D32" s="29" t="s">
        <v>11</v>
      </c>
      <c r="E32" s="30">
        <v>3</v>
      </c>
      <c r="F32" s="14" t="s">
        <v>15</v>
      </c>
      <c r="G32" s="153">
        <f>C32*E32/1000</f>
        <v>0</v>
      </c>
      <c r="I32" s="11" t="s">
        <v>22</v>
      </c>
      <c r="J32" s="83">
        <v>1561691.699240268</v>
      </c>
      <c r="K32" s="26"/>
    </row>
    <row r="33" spans="1:11" ht="26.25" customHeight="1" thickBot="1" x14ac:dyDescent="0.3">
      <c r="B33" s="32" t="s">
        <v>16</v>
      </c>
      <c r="C33" s="91"/>
      <c r="D33" s="33" t="s">
        <v>11</v>
      </c>
      <c r="E33" s="34">
        <v>1.8</v>
      </c>
      <c r="F33" s="19" t="s">
        <v>17</v>
      </c>
      <c r="G33" s="153">
        <f t="shared" ref="G33:G34" si="2">C33*E33/1000</f>
        <v>0</v>
      </c>
      <c r="I33" s="16" t="s">
        <v>8</v>
      </c>
      <c r="J33" s="83">
        <v>139396.91</v>
      </c>
      <c r="K33" s="26"/>
    </row>
    <row r="34" spans="1:11" ht="27" thickBot="1" x14ac:dyDescent="0.3">
      <c r="B34" s="35" t="s">
        <v>18</v>
      </c>
      <c r="C34" s="92">
        <v>79825</v>
      </c>
      <c r="D34" s="36" t="s">
        <v>24</v>
      </c>
      <c r="E34" s="37">
        <v>0.78800000000000003</v>
      </c>
      <c r="F34" s="24" t="s">
        <v>19</v>
      </c>
      <c r="G34" s="153">
        <f t="shared" si="2"/>
        <v>62.902100000000004</v>
      </c>
      <c r="I34" s="16" t="s">
        <v>26</v>
      </c>
      <c r="J34" s="83">
        <f>1735.83+1506.83+1530.66</f>
        <v>4773.32</v>
      </c>
    </row>
    <row r="35" spans="1:11" ht="25.5" x14ac:dyDescent="0.2">
      <c r="I35" s="16" t="s">
        <v>30</v>
      </c>
      <c r="J35" s="83">
        <v>3939.57</v>
      </c>
    </row>
    <row r="36" spans="1:11" x14ac:dyDescent="0.2">
      <c r="I36" s="84" t="s">
        <v>76</v>
      </c>
      <c r="J36" s="83">
        <f>SUM(J32:J35)</f>
        <v>1709801.499240268</v>
      </c>
    </row>
    <row r="37" spans="1:11" x14ac:dyDescent="0.2">
      <c r="I37" s="85" t="s">
        <v>18</v>
      </c>
      <c r="J37" s="83">
        <v>202325.817254686</v>
      </c>
    </row>
    <row r="39" spans="1:11" ht="23.25" x14ac:dyDescent="0.35">
      <c r="A39" s="101" t="s">
        <v>105</v>
      </c>
    </row>
    <row r="40" spans="1:11" ht="14.25" x14ac:dyDescent="0.2">
      <c r="B40" s="38"/>
      <c r="C40" s="38"/>
      <c r="D40" s="38"/>
      <c r="E40" s="38"/>
      <c r="F40" s="38"/>
    </row>
    <row r="41" spans="1:11" ht="15.75" x14ac:dyDescent="0.25">
      <c r="C41" s="2" t="s">
        <v>32</v>
      </c>
      <c r="D41" s="2"/>
    </row>
    <row r="42" spans="1:11" ht="13.5" thickBot="1" x14ac:dyDescent="0.25"/>
    <row r="43" spans="1:11" ht="27" customHeight="1" thickBot="1" x14ac:dyDescent="0.25">
      <c r="C43" s="43" t="s">
        <v>20</v>
      </c>
      <c r="D43" s="42" t="s">
        <v>5</v>
      </c>
      <c r="E43" s="270" t="s">
        <v>34</v>
      </c>
      <c r="F43" s="270"/>
      <c r="G43" s="41" t="s">
        <v>35</v>
      </c>
    </row>
    <row r="44" spans="1:11" s="46" customFormat="1" ht="26.25" thickBot="1" x14ac:dyDescent="0.3">
      <c r="B44" s="50" t="s">
        <v>22</v>
      </c>
      <c r="C44" s="148">
        <f>$C$15</f>
        <v>10420697</v>
      </c>
      <c r="D44" s="51" t="s">
        <v>21</v>
      </c>
      <c r="E44" s="52">
        <v>2.403</v>
      </c>
      <c r="F44" s="53" t="s">
        <v>33</v>
      </c>
      <c r="G44" s="54">
        <f>C44*E44</f>
        <v>25040934.890999999</v>
      </c>
    </row>
    <row r="46" spans="1:11" ht="15.75" x14ac:dyDescent="0.25">
      <c r="C46" s="269"/>
      <c r="D46" s="269"/>
    </row>
    <row r="47" spans="1:11" ht="13.5" thickBot="1" x14ac:dyDescent="0.25"/>
    <row r="48" spans="1:11" ht="30.75" customHeight="1" thickBot="1" x14ac:dyDescent="0.25">
      <c r="B48" s="7" t="s">
        <v>4</v>
      </c>
      <c r="C48" s="8" t="s">
        <v>20</v>
      </c>
      <c r="D48" s="9" t="s">
        <v>5</v>
      </c>
      <c r="E48" s="274" t="s">
        <v>7</v>
      </c>
      <c r="F48" s="275"/>
      <c r="G48" s="10" t="s">
        <v>21</v>
      </c>
      <c r="H48" s="276" t="s">
        <v>34</v>
      </c>
      <c r="I48" s="276"/>
      <c r="J48" s="41" t="s">
        <v>35</v>
      </c>
    </row>
    <row r="49" spans="1:11" ht="27" thickBot="1" x14ac:dyDescent="0.3">
      <c r="B49" s="11" t="s">
        <v>8</v>
      </c>
      <c r="C49" s="145">
        <f t="shared" ref="C49:C54" si="3">C21</f>
        <v>291320</v>
      </c>
      <c r="D49" s="13" t="s">
        <v>24</v>
      </c>
      <c r="E49" s="14">
        <v>10.7056</v>
      </c>
      <c r="F49" s="15" t="s">
        <v>27</v>
      </c>
      <c r="G49" s="87">
        <f>C49*E49</f>
        <v>3118755.392</v>
      </c>
      <c r="H49" s="14">
        <v>1.1950000000000001</v>
      </c>
      <c r="I49" s="6" t="s">
        <v>33</v>
      </c>
      <c r="J49" s="88">
        <f>G49*H49</f>
        <v>3726912.6934400001</v>
      </c>
    </row>
    <row r="50" spans="1:11" ht="27" thickBot="1" x14ac:dyDescent="0.3">
      <c r="B50" s="16" t="s">
        <v>26</v>
      </c>
      <c r="C50" s="146">
        <f t="shared" si="3"/>
        <v>11808</v>
      </c>
      <c r="D50" s="18" t="s">
        <v>9</v>
      </c>
      <c r="E50" s="19">
        <v>10.6</v>
      </c>
      <c r="F50" s="20" t="s">
        <v>10</v>
      </c>
      <c r="G50" s="87">
        <f t="shared" ref="G50:G54" si="4">C50*E50</f>
        <v>125164.8</v>
      </c>
      <c r="H50" s="19">
        <v>1.1819999999999999</v>
      </c>
      <c r="I50" s="6" t="s">
        <v>33</v>
      </c>
      <c r="J50" s="88">
        <f t="shared" ref="J50:J54" si="5">G50*H50</f>
        <v>147944.7936</v>
      </c>
    </row>
    <row r="51" spans="1:11" ht="27" thickBot="1" x14ac:dyDescent="0.3">
      <c r="B51" s="16" t="s">
        <v>30</v>
      </c>
      <c r="C51" s="146">
        <f t="shared" si="3"/>
        <v>15960</v>
      </c>
      <c r="D51" s="18" t="s">
        <v>11</v>
      </c>
      <c r="E51" s="19">
        <v>11.161099999999999</v>
      </c>
      <c r="F51" s="20" t="s">
        <v>12</v>
      </c>
      <c r="G51" s="87">
        <f t="shared" si="4"/>
        <v>178131.15599999999</v>
      </c>
      <c r="H51" s="19">
        <v>1.113</v>
      </c>
      <c r="I51" s="6" t="s">
        <v>33</v>
      </c>
      <c r="J51" s="88">
        <f t="shared" si="5"/>
        <v>198259.97662799997</v>
      </c>
    </row>
    <row r="52" spans="1:11" ht="27" thickBot="1" x14ac:dyDescent="0.3">
      <c r="B52" s="16" t="s">
        <v>31</v>
      </c>
      <c r="C52" s="146">
        <f t="shared" si="3"/>
        <v>0</v>
      </c>
      <c r="D52" s="18" t="s">
        <v>11</v>
      </c>
      <c r="E52" s="19">
        <v>12.6389</v>
      </c>
      <c r="F52" s="20" t="s">
        <v>12</v>
      </c>
      <c r="G52" s="87">
        <f t="shared" si="4"/>
        <v>0</v>
      </c>
      <c r="H52" s="19">
        <v>1.204</v>
      </c>
      <c r="I52" s="6" t="s">
        <v>33</v>
      </c>
      <c r="J52" s="88">
        <f t="shared" si="5"/>
        <v>0</v>
      </c>
    </row>
    <row r="53" spans="1:11" ht="27" thickBot="1" x14ac:dyDescent="0.3">
      <c r="B53" s="16" t="s">
        <v>28</v>
      </c>
      <c r="C53" s="146">
        <f t="shared" si="3"/>
        <v>0</v>
      </c>
      <c r="D53" s="18" t="s">
        <v>11</v>
      </c>
      <c r="E53" s="19">
        <v>5.6971999999999996</v>
      </c>
      <c r="F53" s="20" t="s">
        <v>12</v>
      </c>
      <c r="G53" s="87">
        <f t="shared" si="4"/>
        <v>0</v>
      </c>
      <c r="H53" s="19">
        <v>1.0840000000000001</v>
      </c>
      <c r="I53" s="6" t="s">
        <v>33</v>
      </c>
      <c r="J53" s="88">
        <f t="shared" si="5"/>
        <v>0</v>
      </c>
    </row>
    <row r="54" spans="1:11" ht="27" thickBot="1" x14ac:dyDescent="0.3">
      <c r="B54" s="16" t="s">
        <v>29</v>
      </c>
      <c r="C54" s="146">
        <f t="shared" si="3"/>
        <v>0</v>
      </c>
      <c r="D54" s="18" t="s">
        <v>11</v>
      </c>
      <c r="E54" s="19">
        <v>7.0917000000000003</v>
      </c>
      <c r="F54" s="20" t="s">
        <v>12</v>
      </c>
      <c r="G54" s="87">
        <f t="shared" si="4"/>
        <v>0</v>
      </c>
      <c r="H54" s="19">
        <v>1.0369999999999999</v>
      </c>
      <c r="I54" s="6" t="s">
        <v>33</v>
      </c>
      <c r="J54" s="88">
        <f t="shared" si="5"/>
        <v>0</v>
      </c>
    </row>
    <row r="55" spans="1:11" ht="16.5" thickBot="1" x14ac:dyDescent="0.3">
      <c r="B55" s="21"/>
      <c r="C55" s="147"/>
      <c r="D55" s="23"/>
      <c r="E55" s="24"/>
      <c r="F55" s="25"/>
      <c r="G55" s="93">
        <f>SUM(G49:G54)</f>
        <v>3422051.3479999998</v>
      </c>
      <c r="H55" s="24"/>
      <c r="I55" s="24"/>
      <c r="J55" s="89">
        <f>SUM(J49:J54)</f>
        <v>4073117.463668</v>
      </c>
    </row>
    <row r="56" spans="1:11" x14ac:dyDescent="0.2">
      <c r="C56" s="26"/>
      <c r="D56" s="26"/>
      <c r="E56" s="26"/>
      <c r="F56" s="26"/>
      <c r="G56" s="26"/>
      <c r="H56" s="26"/>
      <c r="I56" s="26"/>
      <c r="J56" s="26"/>
      <c r="K56" s="26"/>
    </row>
    <row r="57" spans="1:11" ht="18.75" x14ac:dyDescent="0.3">
      <c r="A57" s="100" t="s">
        <v>136</v>
      </c>
      <c r="H57" s="26"/>
      <c r="I57" s="26"/>
      <c r="J57" s="26"/>
      <c r="K57" s="26"/>
    </row>
    <row r="58" spans="1:11" ht="15.75" x14ac:dyDescent="0.25">
      <c r="C58" s="2" t="s">
        <v>0</v>
      </c>
      <c r="D58" s="2"/>
      <c r="H58" s="26"/>
      <c r="I58" s="26"/>
      <c r="J58" s="26"/>
      <c r="K58" s="26"/>
    </row>
    <row r="59" spans="1:11" ht="13.5" thickBot="1" x14ac:dyDescent="0.25">
      <c r="H59" s="26"/>
      <c r="I59" s="26"/>
      <c r="J59" s="26"/>
      <c r="K59" s="26"/>
    </row>
    <row r="60" spans="1:11" ht="31.5" customHeight="1" thickBot="1" x14ac:dyDescent="0.25">
      <c r="A60" s="65"/>
      <c r="B60" s="65"/>
      <c r="C60" s="43" t="s">
        <v>107</v>
      </c>
      <c r="D60" s="42" t="s">
        <v>5</v>
      </c>
      <c r="E60" s="270" t="s">
        <v>134</v>
      </c>
      <c r="F60" s="270"/>
      <c r="G60" s="66" t="s">
        <v>182</v>
      </c>
      <c r="H60" s="26"/>
      <c r="I60" s="26"/>
      <c r="J60" s="26"/>
      <c r="K60" s="26"/>
    </row>
    <row r="61" spans="1:11" ht="16.5" thickBot="1" x14ac:dyDescent="0.3">
      <c r="B61" s="278" t="s">
        <v>22</v>
      </c>
      <c r="C61" s="281">
        <f t="shared" ref="C61" si="6">$D$72</f>
        <v>116572</v>
      </c>
      <c r="D61" s="284" t="s">
        <v>21</v>
      </c>
      <c r="E61" s="5">
        <v>0.35699999999999998</v>
      </c>
      <c r="F61" s="6" t="s">
        <v>2</v>
      </c>
      <c r="G61" s="109">
        <f>-(C61*E61/1000)</f>
        <v>-41.616203999999996</v>
      </c>
      <c r="H61" s="26"/>
      <c r="I61" s="26"/>
      <c r="J61" s="26"/>
      <c r="K61" s="26"/>
    </row>
    <row r="62" spans="1:11" ht="16.5" thickBot="1" x14ac:dyDescent="0.3">
      <c r="B62" s="279"/>
      <c r="C62" s="282"/>
      <c r="D62" s="285"/>
      <c r="E62" s="5">
        <v>0.36659999999999998</v>
      </c>
      <c r="F62" s="6" t="s">
        <v>133</v>
      </c>
      <c r="G62" s="110">
        <f>-(C61*E62/1000)/1000</f>
        <v>-4.2735295200000002E-2</v>
      </c>
      <c r="H62" s="26"/>
      <c r="I62" s="26"/>
      <c r="J62" s="26"/>
      <c r="K62" s="26"/>
    </row>
    <row r="63" spans="1:11" ht="16.5" thickBot="1" x14ac:dyDescent="0.3">
      <c r="B63" s="280"/>
      <c r="C63" s="283"/>
      <c r="D63" s="286"/>
      <c r="E63" s="5">
        <v>0.26100000000000001</v>
      </c>
      <c r="F63" s="6" t="s">
        <v>137</v>
      </c>
      <c r="G63" s="110">
        <f>-(C61*E63/1000)/1000</f>
        <v>-3.0425292000000003E-2</v>
      </c>
      <c r="H63" s="26"/>
      <c r="I63" s="26"/>
      <c r="J63" s="26"/>
      <c r="K63" s="26"/>
    </row>
    <row r="64" spans="1:11" x14ac:dyDescent="0.2">
      <c r="C64" s="26"/>
      <c r="D64" s="26"/>
      <c r="E64" s="26"/>
      <c r="F64" s="26"/>
      <c r="G64" s="26" t="s">
        <v>106</v>
      </c>
      <c r="H64" s="26"/>
      <c r="I64" s="26"/>
      <c r="J64" s="26"/>
      <c r="K64" s="26"/>
    </row>
    <row r="65" spans="1:19" ht="23.25" x14ac:dyDescent="0.35">
      <c r="A65" s="101" t="s">
        <v>152</v>
      </c>
      <c r="C65" s="26"/>
      <c r="D65" s="26"/>
      <c r="E65" s="26"/>
      <c r="F65" s="26"/>
      <c r="G65" s="26"/>
      <c r="H65" s="26"/>
      <c r="I65" s="26"/>
      <c r="J65" s="26"/>
      <c r="K65" s="26"/>
    </row>
    <row r="66" spans="1:19" ht="15.75" x14ac:dyDescent="0.25">
      <c r="B66" s="2" t="s">
        <v>130</v>
      </c>
      <c r="C66" s="26"/>
      <c r="D66" s="26"/>
      <c r="E66" s="26"/>
      <c r="F66" s="26"/>
      <c r="G66" s="26"/>
      <c r="H66" s="26"/>
      <c r="I66" s="26"/>
      <c r="J66" s="26"/>
      <c r="K66" s="26"/>
    </row>
    <row r="67" spans="1:19" ht="25.5" x14ac:dyDescent="0.2">
      <c r="A67" s="135" t="s">
        <v>146</v>
      </c>
      <c r="B67" s="136" t="s">
        <v>36</v>
      </c>
      <c r="C67" s="137"/>
      <c r="D67" s="74">
        <f>G44+J55</f>
        <v>29114052.354667999</v>
      </c>
      <c r="E67" s="82" t="s">
        <v>21</v>
      </c>
      <c r="F67" s="45" t="s">
        <v>45</v>
      </c>
      <c r="G67" s="73">
        <v>192576.56000000003</v>
      </c>
      <c r="H67" s="44" t="s">
        <v>75</v>
      </c>
      <c r="I67" s="26"/>
      <c r="P67" s="272" t="s">
        <v>58</v>
      </c>
      <c r="Q67" s="272"/>
      <c r="R67" s="272"/>
      <c r="S67" s="75" t="s">
        <v>80</v>
      </c>
    </row>
    <row r="68" spans="1:19" ht="25.5" x14ac:dyDescent="0.2">
      <c r="A68" s="135" t="s">
        <v>147</v>
      </c>
      <c r="B68" s="136" t="s">
        <v>37</v>
      </c>
      <c r="C68" s="138"/>
      <c r="D68" s="74">
        <f>C44+G55</f>
        <v>13842748.347999999</v>
      </c>
      <c r="E68" s="77" t="s">
        <v>21</v>
      </c>
      <c r="F68" s="45" t="s">
        <v>41</v>
      </c>
      <c r="G68" s="78">
        <f>$F$78</f>
        <v>1472</v>
      </c>
      <c r="P68" s="68" t="s">
        <v>59</v>
      </c>
      <c r="Q68" s="47" t="s">
        <v>43</v>
      </c>
      <c r="R68" s="69">
        <v>3425</v>
      </c>
      <c r="S68" s="76" t="e">
        <f>(R68-#REF!)/#REF!</f>
        <v>#REF!</v>
      </c>
    </row>
    <row r="69" spans="1:19" ht="25.5" x14ac:dyDescent="0.2">
      <c r="A69" s="135" t="s">
        <v>148</v>
      </c>
      <c r="B69" s="136" t="s">
        <v>38</v>
      </c>
      <c r="C69" s="138"/>
      <c r="D69" s="74">
        <f>G15+J27</f>
        <v>4548.2478013919999</v>
      </c>
      <c r="E69" s="77" t="s">
        <v>88</v>
      </c>
      <c r="F69" s="45" t="s">
        <v>42</v>
      </c>
      <c r="G69" s="78">
        <f>$C$79</f>
        <v>14760</v>
      </c>
      <c r="P69" s="70" t="s">
        <v>60</v>
      </c>
      <c r="Q69" s="47" t="s">
        <v>61</v>
      </c>
      <c r="R69" s="71">
        <v>68</v>
      </c>
      <c r="S69" s="76" t="e">
        <f>(R69-#REF!)/#REF!</f>
        <v>#REF!</v>
      </c>
    </row>
    <row r="70" spans="1:19" ht="38.25" x14ac:dyDescent="0.2">
      <c r="A70" s="135" t="s">
        <v>149</v>
      </c>
      <c r="B70" s="136" t="s">
        <v>39</v>
      </c>
      <c r="C70" s="138"/>
      <c r="D70" s="74">
        <f>D68*0.366/1000</f>
        <v>5066.4458953679996</v>
      </c>
      <c r="E70" s="77" t="s">
        <v>89</v>
      </c>
      <c r="F70" s="140" t="s">
        <v>169</v>
      </c>
      <c r="G70" s="80">
        <f>G68+G69</f>
        <v>16232</v>
      </c>
      <c r="P70" s="47"/>
      <c r="Q70" s="47" t="s">
        <v>62</v>
      </c>
      <c r="R70" s="71">
        <v>1757</v>
      </c>
      <c r="S70" s="76" t="e">
        <f>(R70-#REF!)/#REF!</f>
        <v>#REF!</v>
      </c>
    </row>
    <row r="71" spans="1:19" ht="15" x14ac:dyDescent="0.2">
      <c r="A71" s="135" t="s">
        <v>150</v>
      </c>
      <c r="B71" s="136" t="s">
        <v>40</v>
      </c>
      <c r="C71" s="138"/>
      <c r="D71" s="74">
        <f>D68*0.261/1000</f>
        <v>3612.9573188279996</v>
      </c>
      <c r="E71" s="77" t="s">
        <v>89</v>
      </c>
      <c r="F71" s="72"/>
      <c r="G71" s="72"/>
    </row>
    <row r="72" spans="1:19" ht="27.75" customHeight="1" x14ac:dyDescent="0.2">
      <c r="A72" s="135" t="s">
        <v>151</v>
      </c>
      <c r="B72" s="273" t="s">
        <v>138</v>
      </c>
      <c r="C72" s="273"/>
      <c r="D72" s="74">
        <v>116572</v>
      </c>
      <c r="E72" s="67" t="s">
        <v>21</v>
      </c>
      <c r="F72" s="112" t="s">
        <v>139</v>
      </c>
      <c r="G72" s="111"/>
      <c r="H72" s="94"/>
      <c r="I72" s="94"/>
      <c r="J72" s="94"/>
    </row>
    <row r="73" spans="1:19" ht="15.75" x14ac:dyDescent="0.2">
      <c r="A73" s="108"/>
      <c r="B73" s="107"/>
      <c r="D73" s="74"/>
      <c r="E73" s="67"/>
    </row>
    <row r="74" spans="1:19" ht="22.5" x14ac:dyDescent="0.2">
      <c r="B74" s="287" t="s">
        <v>50</v>
      </c>
      <c r="C74" s="287"/>
      <c r="D74" s="75" t="s">
        <v>153</v>
      </c>
      <c r="E74" s="288" t="s">
        <v>54</v>
      </c>
      <c r="F74" s="288"/>
      <c r="G74" s="75" t="s">
        <v>153</v>
      </c>
    </row>
    <row r="75" spans="1:19" x14ac:dyDescent="0.2">
      <c r="B75" s="47" t="s">
        <v>179</v>
      </c>
      <c r="C75" s="78">
        <v>13237</v>
      </c>
      <c r="D75" s="160">
        <f>(C75-'2015'!C75)/'2015'!C75</f>
        <v>5.0110090350011386E-3</v>
      </c>
      <c r="E75" s="47" t="s">
        <v>55</v>
      </c>
      <c r="F75" s="78">
        <v>922</v>
      </c>
      <c r="G75" s="160">
        <f>(F75-'2015'!F75)/'2015'!F75</f>
        <v>-2.1645021645021645E-3</v>
      </c>
      <c r="K75" s="56"/>
    </row>
    <row r="76" spans="1:19" x14ac:dyDescent="0.2">
      <c r="B76" s="47" t="s">
        <v>51</v>
      </c>
      <c r="C76" s="78">
        <v>214</v>
      </c>
      <c r="D76" s="160">
        <f>(C76-'2015'!C76)/'2015'!C76</f>
        <v>-0.26460481099656358</v>
      </c>
      <c r="E76" s="47" t="s">
        <v>57</v>
      </c>
      <c r="F76" s="78">
        <v>87</v>
      </c>
      <c r="G76" s="160">
        <f>(F76-'2015'!F76)/'2015'!F76</f>
        <v>0.45</v>
      </c>
    </row>
    <row r="77" spans="1:19" x14ac:dyDescent="0.2">
      <c r="B77" s="47" t="s">
        <v>52</v>
      </c>
      <c r="C77" s="78">
        <v>1309</v>
      </c>
      <c r="D77" s="160">
        <f>(C77-'2015'!C77)/'2015'!C77</f>
        <v>4.8878205128205128E-2</v>
      </c>
      <c r="E77" s="47" t="s">
        <v>56</v>
      </c>
      <c r="F77" s="78">
        <v>463</v>
      </c>
      <c r="G77" s="160">
        <f>(F77-'2015'!F77)/'2015'!F77</f>
        <v>-8.1349206349206352E-2</v>
      </c>
    </row>
    <row r="78" spans="1:19" x14ac:dyDescent="0.2">
      <c r="B78" s="47" t="s">
        <v>53</v>
      </c>
      <c r="C78" s="78"/>
      <c r="D78" s="160"/>
      <c r="E78" s="79" t="s">
        <v>76</v>
      </c>
      <c r="F78" s="80">
        <f>SUM(F75:F77)</f>
        <v>1472</v>
      </c>
      <c r="G78" s="160">
        <f>(F78-'2015'!F78)/'2015'!F78</f>
        <v>-1.0752688172043012E-2</v>
      </c>
    </row>
    <row r="79" spans="1:19" x14ac:dyDescent="0.2">
      <c r="B79" s="79" t="s">
        <v>76</v>
      </c>
      <c r="C79" s="80">
        <f>SUM(C75:C78)</f>
        <v>14760</v>
      </c>
      <c r="D79" s="160">
        <f>(C79-'2015'!C79)/'2015'!C79</f>
        <v>3.3990482664853841E-3</v>
      </c>
      <c r="G79" s="76"/>
    </row>
    <row r="80" spans="1:19" ht="13.5" customHeight="1" x14ac:dyDescent="0.2"/>
    <row r="81" spans="2:7" ht="13.5" customHeight="1" x14ac:dyDescent="0.2">
      <c r="B81" s="79"/>
      <c r="C81" s="80"/>
      <c r="D81" s="76"/>
    </row>
    <row r="82" spans="2:7" ht="13.5" customHeight="1" x14ac:dyDescent="0.25">
      <c r="B82" s="2" t="s">
        <v>131</v>
      </c>
      <c r="C82" s="80"/>
      <c r="D82" s="76"/>
    </row>
    <row r="83" spans="2:7" ht="13.5" customHeight="1" x14ac:dyDescent="0.25">
      <c r="B83" s="2"/>
      <c r="C83" s="80"/>
      <c r="D83" s="76"/>
    </row>
    <row r="84" spans="2:7" ht="30.75" thickBot="1" x14ac:dyDescent="0.35">
      <c r="B84" s="139" t="s">
        <v>154</v>
      </c>
      <c r="C84" s="96" t="s">
        <v>44</v>
      </c>
      <c r="D84" s="96"/>
      <c r="E84" s="96"/>
      <c r="F84" s="96"/>
      <c r="G84" s="81" t="s">
        <v>153</v>
      </c>
    </row>
    <row r="85" spans="2:7" ht="30.75" customHeight="1" thickTop="1" x14ac:dyDescent="0.2">
      <c r="B85" s="123" t="s">
        <v>44</v>
      </c>
      <c r="C85" s="277" t="s">
        <v>78</v>
      </c>
      <c r="D85" s="277"/>
      <c r="E85" s="120">
        <f>IF(D68=0,0,D68/$G$67)</f>
        <v>71.88179261276656</v>
      </c>
      <c r="F85" s="114" t="s">
        <v>70</v>
      </c>
      <c r="G85" s="155">
        <f>(E85-'2015'!E85)/'2015'!E85</f>
        <v>9.3889589195457659E-2</v>
      </c>
    </row>
    <row r="86" spans="2:7" ht="15.75" customHeight="1" thickBot="1" x14ac:dyDescent="0.3">
      <c r="B86" s="122"/>
      <c r="C86" s="96" t="s">
        <v>46</v>
      </c>
      <c r="D86" s="96"/>
      <c r="E86" s="154"/>
      <c r="F86" s="96"/>
      <c r="G86" s="156"/>
    </row>
    <row r="87" spans="2:7" ht="26.25" customHeight="1" thickTop="1" x14ac:dyDescent="0.2">
      <c r="B87" s="124" t="s">
        <v>46</v>
      </c>
      <c r="C87" s="277" t="s">
        <v>79</v>
      </c>
      <c r="D87" s="277"/>
      <c r="E87" s="120">
        <f>IF(D67=0,0,D67/$G$67)</f>
        <v>151.18170329072237</v>
      </c>
      <c r="F87" s="114" t="s">
        <v>70</v>
      </c>
      <c r="G87" s="155">
        <f>(E87-'2015'!E87)/'2015'!E87</f>
        <v>8.3092913432825002E-2</v>
      </c>
    </row>
    <row r="88" spans="2:7" ht="15.75" customHeight="1" thickBot="1" x14ac:dyDescent="0.3">
      <c r="B88" s="97"/>
      <c r="C88" s="96" t="s">
        <v>47</v>
      </c>
      <c r="D88" s="96"/>
      <c r="E88" s="154"/>
      <c r="F88" s="96"/>
      <c r="G88" s="156"/>
    </row>
    <row r="89" spans="2:7" ht="30.75" customHeight="1" thickTop="1" x14ac:dyDescent="0.2">
      <c r="B89" s="125" t="s">
        <v>108</v>
      </c>
      <c r="C89" s="277" t="s">
        <v>156</v>
      </c>
      <c r="D89" s="277"/>
      <c r="E89" s="120">
        <f>IF(D68=0,0,D68/F78)</f>
        <v>9404.0409972826073</v>
      </c>
      <c r="F89" s="114" t="s">
        <v>165</v>
      </c>
      <c r="G89" s="155">
        <f>(E89-'2015'!E89)/'2015'!E89</f>
        <v>0.10577969342584308</v>
      </c>
    </row>
    <row r="90" spans="2:7" ht="26.25" customHeight="1" x14ac:dyDescent="0.2">
      <c r="B90" s="126" t="s">
        <v>109</v>
      </c>
      <c r="C90" s="277" t="s">
        <v>157</v>
      </c>
      <c r="D90" s="277"/>
      <c r="E90" s="120">
        <f>IF(D68=0,0,D68/G70)</f>
        <v>852.80608353868899</v>
      </c>
      <c r="F90" s="114" t="s">
        <v>101</v>
      </c>
      <c r="G90" s="155"/>
    </row>
    <row r="91" spans="2:7" ht="15.75" thickBot="1" x14ac:dyDescent="0.3">
      <c r="B91" s="97"/>
      <c r="C91" s="96" t="s">
        <v>90</v>
      </c>
      <c r="D91" s="96"/>
      <c r="E91" s="96"/>
      <c r="F91" s="96"/>
      <c r="G91" s="156"/>
    </row>
    <row r="92" spans="2:7" ht="30.75" customHeight="1" thickTop="1" x14ac:dyDescent="0.2">
      <c r="B92" s="127" t="s">
        <v>90</v>
      </c>
      <c r="C92" s="289" t="s">
        <v>72</v>
      </c>
      <c r="D92" s="289"/>
      <c r="E92" s="116">
        <f>IF(D69=0,0,D69/$G$67)</f>
        <v>2.3617868142374127E-2</v>
      </c>
      <c r="F92" s="117" t="s">
        <v>87</v>
      </c>
      <c r="G92" s="155">
        <f>(E92-'2015'!E92)/'2015'!E92</f>
        <v>5.0523284016076114E-2</v>
      </c>
    </row>
    <row r="93" spans="2:7" ht="25.5" customHeight="1" thickBot="1" x14ac:dyDescent="0.3">
      <c r="B93" s="122"/>
      <c r="C93" s="96" t="s">
        <v>91</v>
      </c>
      <c r="D93" s="96"/>
      <c r="E93" s="96"/>
      <c r="F93" s="96"/>
      <c r="G93" s="156"/>
    </row>
    <row r="94" spans="2:7" ht="15.75" customHeight="1" thickTop="1" x14ac:dyDescent="0.2">
      <c r="B94" s="127" t="s">
        <v>91</v>
      </c>
      <c r="C94" s="289" t="s">
        <v>73</v>
      </c>
      <c r="D94" s="289"/>
      <c r="E94" s="116">
        <f>IF(D70=0,0,D70/$G$67)</f>
        <v>2.6308736096272562E-2</v>
      </c>
      <c r="F94" s="117" t="s">
        <v>71</v>
      </c>
      <c r="G94" s="155">
        <f>(E94-'2015'!E94)/'2015'!E94</f>
        <v>9.388958919545777E-2</v>
      </c>
    </row>
    <row r="95" spans="2:7" ht="13.5" customHeight="1" thickBot="1" x14ac:dyDescent="0.3">
      <c r="B95" s="122"/>
      <c r="C95" s="96" t="s">
        <v>92</v>
      </c>
      <c r="D95" s="96"/>
      <c r="E95" s="96"/>
      <c r="F95" s="96"/>
      <c r="G95" s="156"/>
    </row>
    <row r="96" spans="2:7" ht="29.25" customHeight="1" thickTop="1" x14ac:dyDescent="0.2">
      <c r="B96" s="127" t="s">
        <v>92</v>
      </c>
      <c r="C96" s="289" t="s">
        <v>74</v>
      </c>
      <c r="D96" s="289"/>
      <c r="E96" s="116">
        <f>IF(D71=0,0,D71/$G$67)</f>
        <v>1.8761147871932074E-2</v>
      </c>
      <c r="F96" s="117" t="s">
        <v>71</v>
      </c>
      <c r="G96" s="155">
        <f>(E96-'2015'!E96)/'2015'!E96</f>
        <v>9.3889589195457729E-2</v>
      </c>
    </row>
    <row r="97" spans="2:8" ht="15.75" thickBot="1" x14ac:dyDescent="0.3">
      <c r="B97" s="122"/>
      <c r="C97" s="96" t="s">
        <v>93</v>
      </c>
      <c r="D97" s="96"/>
      <c r="E97" s="96"/>
      <c r="F97" s="96"/>
      <c r="G97" s="156"/>
    </row>
    <row r="98" spans="2:8" ht="13.5" customHeight="1" thickTop="1" x14ac:dyDescent="0.2">
      <c r="B98" s="128" t="s">
        <v>110</v>
      </c>
      <c r="C98" s="289" t="s">
        <v>158</v>
      </c>
      <c r="D98" s="289"/>
      <c r="E98" s="116">
        <f>IF(D69=0,0,D69/$F$78)</f>
        <v>3.0898422563804346</v>
      </c>
      <c r="F98" s="117" t="s">
        <v>166</v>
      </c>
      <c r="G98" s="155">
        <f>(E98-'2015'!E98)/'2015'!E98</f>
        <v>6.1942015364076904E-2</v>
      </c>
      <c r="H98" s="99"/>
    </row>
    <row r="99" spans="2:8" ht="28.5" customHeight="1" x14ac:dyDescent="0.2">
      <c r="B99" s="129" t="s">
        <v>111</v>
      </c>
      <c r="C99" s="289" t="s">
        <v>159</v>
      </c>
      <c r="D99" s="289"/>
      <c r="E99" s="116">
        <f>D69/$G$70</f>
        <v>0.28020255060325283</v>
      </c>
      <c r="F99" s="117" t="s">
        <v>86</v>
      </c>
      <c r="G99" s="155"/>
      <c r="H99" s="95"/>
    </row>
    <row r="100" spans="2:8" ht="15.75" thickBot="1" x14ac:dyDescent="0.3">
      <c r="B100" s="122"/>
      <c r="C100" s="96" t="s">
        <v>94</v>
      </c>
      <c r="D100" s="96"/>
      <c r="E100" s="96"/>
      <c r="F100" s="96"/>
      <c r="G100" s="156"/>
    </row>
    <row r="101" spans="2:8" ht="13.5" customHeight="1" thickTop="1" x14ac:dyDescent="0.2">
      <c r="B101" s="128" t="s">
        <v>112</v>
      </c>
      <c r="C101" s="289" t="s">
        <v>160</v>
      </c>
      <c r="D101" s="289"/>
      <c r="E101" s="116">
        <f>IF(D70=0,0,D70/$F$78)</f>
        <v>3.4418790050054344</v>
      </c>
      <c r="F101" s="117" t="s">
        <v>167</v>
      </c>
      <c r="G101" s="155">
        <f>(E101-'2015'!E101)/'2015'!E101</f>
        <v>0.10577969342584317</v>
      </c>
    </row>
    <row r="102" spans="2:8" ht="26.25" customHeight="1" x14ac:dyDescent="0.2">
      <c r="B102" s="129" t="s">
        <v>113</v>
      </c>
      <c r="C102" s="289" t="s">
        <v>164</v>
      </c>
      <c r="D102" s="289"/>
      <c r="E102" s="116">
        <f>D70/$G$70</f>
        <v>0.31212702657516017</v>
      </c>
      <c r="F102" s="117" t="s">
        <v>77</v>
      </c>
      <c r="G102" s="155"/>
    </row>
    <row r="103" spans="2:8" ht="13.5" customHeight="1" thickBot="1" x14ac:dyDescent="0.3">
      <c r="B103" s="122"/>
      <c r="C103" s="96" t="s">
        <v>95</v>
      </c>
      <c r="D103" s="96"/>
      <c r="E103" s="96"/>
      <c r="F103" s="96"/>
      <c r="G103" s="156"/>
    </row>
    <row r="104" spans="2:8" ht="33.75" customHeight="1" thickTop="1" x14ac:dyDescent="0.2">
      <c r="B104" s="128" t="s">
        <v>114</v>
      </c>
      <c r="C104" s="289" t="s">
        <v>161</v>
      </c>
      <c r="D104" s="289"/>
      <c r="E104" s="116">
        <f>IF(D71=0,0,D71/$F$78)</f>
        <v>2.4544547002907606</v>
      </c>
      <c r="F104" s="117" t="s">
        <v>167</v>
      </c>
      <c r="G104" s="155">
        <f>(E104-'2015'!E104)/'2015'!E104</f>
        <v>0.10577969342584324</v>
      </c>
    </row>
    <row r="105" spans="2:8" ht="29.25" customHeight="1" x14ac:dyDescent="0.2">
      <c r="B105" s="129" t="s">
        <v>115</v>
      </c>
      <c r="C105" s="289" t="s">
        <v>162</v>
      </c>
      <c r="D105" s="289"/>
      <c r="E105" s="116">
        <f>D71/G70</f>
        <v>0.22258238780359782</v>
      </c>
      <c r="F105" s="117" t="s">
        <v>77</v>
      </c>
      <c r="G105" s="157"/>
    </row>
    <row r="106" spans="2:8" ht="15.75" thickBot="1" x14ac:dyDescent="0.3">
      <c r="B106" s="122"/>
      <c r="C106" s="96" t="s">
        <v>96</v>
      </c>
      <c r="D106" s="96"/>
      <c r="E106" s="96"/>
      <c r="F106" s="96"/>
      <c r="G106" s="156"/>
    </row>
    <row r="107" spans="2:8" ht="30" customHeight="1" thickTop="1" x14ac:dyDescent="0.2">
      <c r="B107" s="124" t="s">
        <v>96</v>
      </c>
      <c r="C107" s="277" t="s">
        <v>99</v>
      </c>
      <c r="D107" s="277"/>
      <c r="E107" s="113">
        <f>IF(C34=0,0,C34/G67)*1000</f>
        <v>414.51046794064649</v>
      </c>
      <c r="F107" s="114" t="s">
        <v>100</v>
      </c>
      <c r="G107" s="155">
        <f>(E107-'2015'!E107)/'2015'!E107</f>
        <v>-3.2560644199819199E-4</v>
      </c>
    </row>
    <row r="108" spans="2:8" ht="15.75" thickBot="1" x14ac:dyDescent="0.3">
      <c r="B108" s="122"/>
      <c r="C108" s="96" t="s">
        <v>97</v>
      </c>
      <c r="D108" s="96"/>
      <c r="E108" s="96"/>
      <c r="F108" s="96"/>
      <c r="G108" s="156"/>
    </row>
    <row r="109" spans="2:8" ht="15.75" thickTop="1" x14ac:dyDescent="0.2">
      <c r="B109" s="125" t="s">
        <v>142</v>
      </c>
      <c r="C109" s="277" t="s">
        <v>155</v>
      </c>
      <c r="D109" s="277"/>
      <c r="E109" s="113">
        <f>C34/F78</f>
        <v>54.228940217391305</v>
      </c>
      <c r="F109" s="114" t="s">
        <v>170</v>
      </c>
      <c r="G109" s="155">
        <f>(E109-'2015'!E109)/'2015'!E109</f>
        <v>1.0540419574936573E-2</v>
      </c>
    </row>
    <row r="110" spans="2:8" ht="33" customHeight="1" x14ac:dyDescent="0.2">
      <c r="B110" s="126" t="s">
        <v>143</v>
      </c>
      <c r="C110" s="277" t="s">
        <v>163</v>
      </c>
      <c r="D110" s="277"/>
      <c r="E110" s="113">
        <f>C34/G70</f>
        <v>4.91775505174963</v>
      </c>
      <c r="F110" s="114" t="s">
        <v>184</v>
      </c>
      <c r="G110" s="155">
        <f>(E110-'2015'!E110)/'2015'!E110</f>
        <v>-2.4195523131769997E-3</v>
      </c>
    </row>
    <row r="111" spans="2:8" ht="18" customHeight="1" thickBot="1" x14ac:dyDescent="0.3">
      <c r="B111" s="122"/>
      <c r="C111" s="96" t="s">
        <v>98</v>
      </c>
      <c r="D111" s="96"/>
      <c r="E111" s="96"/>
      <c r="F111" s="96"/>
      <c r="G111" s="156"/>
    </row>
    <row r="112" spans="2:8" ht="22.5" customHeight="1" thickTop="1" x14ac:dyDescent="0.2">
      <c r="B112" s="130" t="s">
        <v>98</v>
      </c>
      <c r="C112" s="291" t="s">
        <v>132</v>
      </c>
      <c r="D112" s="291"/>
      <c r="E112" s="151">
        <f>J36/G67</f>
        <v>8.8785545823451599</v>
      </c>
      <c r="F112" s="119" t="s">
        <v>171</v>
      </c>
      <c r="G112" s="155">
        <f>(E112-'2015'!E112)/'2015'!E112</f>
        <v>3.4562351197673521E-2</v>
      </c>
    </row>
    <row r="113" spans="2:7" ht="15.75" thickBot="1" x14ac:dyDescent="0.3">
      <c r="B113" s="122"/>
      <c r="C113" s="96" t="s">
        <v>102</v>
      </c>
      <c r="D113" s="96"/>
      <c r="E113" s="96"/>
      <c r="F113" s="96"/>
      <c r="G113" s="156"/>
    </row>
    <row r="114" spans="2:7" ht="19.5" customHeight="1" thickTop="1" x14ac:dyDescent="0.2">
      <c r="B114" s="130" t="s">
        <v>102</v>
      </c>
      <c r="C114" s="291" t="s">
        <v>172</v>
      </c>
      <c r="D114" s="291"/>
      <c r="E114" s="151">
        <f>J37/G67</f>
        <v>1.0506253578041169</v>
      </c>
      <c r="F114" s="119" t="s">
        <v>83</v>
      </c>
      <c r="G114" s="155">
        <f>(E114-'2015'!E114)/'2015'!E114</f>
        <v>2.3628465076548703E-2</v>
      </c>
    </row>
    <row r="115" spans="2:7" ht="12.75" customHeight="1" thickBot="1" x14ac:dyDescent="0.3">
      <c r="B115" s="122"/>
      <c r="C115" s="96" t="s">
        <v>103</v>
      </c>
      <c r="D115" s="96"/>
      <c r="E115" s="96"/>
      <c r="F115" s="96"/>
      <c r="G115" s="156"/>
    </row>
    <row r="116" spans="2:7" ht="30" customHeight="1" thickTop="1" x14ac:dyDescent="0.2">
      <c r="B116" s="131" t="s">
        <v>177</v>
      </c>
      <c r="C116" s="291" t="s">
        <v>173</v>
      </c>
      <c r="D116" s="291"/>
      <c r="E116" s="151">
        <f>J36/F78</f>
        <v>1161.5499315490952</v>
      </c>
      <c r="F116" s="119" t="s">
        <v>168</v>
      </c>
      <c r="G116" s="159">
        <f>(E116-'2015'!E116)/'2015'!E116</f>
        <v>4.5807594145474459E-2</v>
      </c>
    </row>
    <row r="117" spans="2:7" ht="27" customHeight="1" x14ac:dyDescent="0.2">
      <c r="B117" s="132" t="s">
        <v>178</v>
      </c>
      <c r="C117" s="291" t="s">
        <v>174</v>
      </c>
      <c r="D117" s="291"/>
      <c r="E117" s="151">
        <f>J36/G70</f>
        <v>105.33523282653204</v>
      </c>
      <c r="F117" s="119" t="s">
        <v>84</v>
      </c>
      <c r="G117" s="159">
        <f>(E117-'2015'!E117)/'2015'!E117</f>
        <v>3.2395328037205379E-2</v>
      </c>
    </row>
    <row r="118" spans="2:7" ht="15.75" thickBot="1" x14ac:dyDescent="0.3">
      <c r="B118" s="122"/>
      <c r="C118" s="96" t="s">
        <v>104</v>
      </c>
      <c r="D118" s="96"/>
      <c r="E118" s="96"/>
      <c r="F118" s="96"/>
      <c r="G118" s="156"/>
    </row>
    <row r="119" spans="2:7" ht="13.5" customHeight="1" thickTop="1" x14ac:dyDescent="0.2">
      <c r="B119" s="131" t="s">
        <v>144</v>
      </c>
      <c r="C119" s="291" t="s">
        <v>175</v>
      </c>
      <c r="D119" s="291"/>
      <c r="E119" s="151">
        <f>J37/F78</f>
        <v>137.44960411323777</v>
      </c>
      <c r="F119" s="119" t="s">
        <v>168</v>
      </c>
      <c r="G119" s="159">
        <f>(E119-'2015'!E119)/'2015'!E119</f>
        <v>3.475486143607634E-2</v>
      </c>
    </row>
    <row r="120" spans="2:7" ht="27" customHeight="1" x14ac:dyDescent="0.2">
      <c r="B120" s="132" t="s">
        <v>145</v>
      </c>
      <c r="C120" s="291" t="s">
        <v>176</v>
      </c>
      <c r="D120" s="291"/>
      <c r="E120" s="151">
        <f>J37/G70</f>
        <v>12.464626494251233</v>
      </c>
      <c r="F120" s="119" t="s">
        <v>84</v>
      </c>
      <c r="G120" s="159">
        <f>(E120-'2015'!E120)/'2015'!E120</f>
        <v>2.1484344338956133E-2</v>
      </c>
    </row>
    <row r="121" spans="2:7" ht="15.75" thickBot="1" x14ac:dyDescent="0.3">
      <c r="B121" s="122"/>
      <c r="C121" s="96" t="s">
        <v>140</v>
      </c>
      <c r="D121" s="96"/>
      <c r="E121" s="96"/>
      <c r="F121" s="96"/>
      <c r="G121" s="156"/>
    </row>
    <row r="122" spans="2:7" ht="37.5" customHeight="1" thickTop="1" x14ac:dyDescent="0.2">
      <c r="B122" s="130" t="s">
        <v>140</v>
      </c>
      <c r="C122" s="290" t="s">
        <v>141</v>
      </c>
      <c r="D122" s="290"/>
      <c r="E122" s="133">
        <f>D72/C15</f>
        <v>1.1186583776497868E-2</v>
      </c>
      <c r="F122" s="134"/>
      <c r="G122" s="158">
        <f>(E122-'2015'!E122)/'2015'!E122</f>
        <v>-6.4329670078690532E-2</v>
      </c>
    </row>
    <row r="123" spans="2:7" x14ac:dyDescent="0.2">
      <c r="E123" s="58"/>
    </row>
    <row r="124" spans="2:7" x14ac:dyDescent="0.2">
      <c r="E124" s="58"/>
    </row>
    <row r="125" spans="2:7" x14ac:dyDescent="0.2">
      <c r="E125" s="58"/>
    </row>
    <row r="126" spans="2:7" x14ac:dyDescent="0.2">
      <c r="E126" s="58"/>
    </row>
  </sheetData>
  <mergeCells count="43">
    <mergeCell ref="C119:D119"/>
    <mergeCell ref="C120:D120"/>
    <mergeCell ref="C122:D122"/>
    <mergeCell ref="C12:F12"/>
    <mergeCell ref="E31:F31"/>
    <mergeCell ref="C29:F29"/>
    <mergeCell ref="C96:D96"/>
    <mergeCell ref="C98:D98"/>
    <mergeCell ref="C99:D99"/>
    <mergeCell ref="C89:D89"/>
    <mergeCell ref="C90:D90"/>
    <mergeCell ref="C92:D92"/>
    <mergeCell ref="C94:D94"/>
    <mergeCell ref="C112:D112"/>
    <mergeCell ref="C116:D116"/>
    <mergeCell ref="C117:D117"/>
    <mergeCell ref="A9:C9"/>
    <mergeCell ref="E60:F60"/>
    <mergeCell ref="E14:F14"/>
    <mergeCell ref="E20:F20"/>
    <mergeCell ref="H20:I20"/>
    <mergeCell ref="C18:F18"/>
    <mergeCell ref="P67:R67"/>
    <mergeCell ref="C85:D85"/>
    <mergeCell ref="C87:D87"/>
    <mergeCell ref="E43:F43"/>
    <mergeCell ref="C46:D46"/>
    <mergeCell ref="E48:F48"/>
    <mergeCell ref="H48:I48"/>
    <mergeCell ref="B74:C74"/>
    <mergeCell ref="E74:F74"/>
    <mergeCell ref="D61:D63"/>
    <mergeCell ref="C61:C63"/>
    <mergeCell ref="B61:B63"/>
    <mergeCell ref="B72:C72"/>
    <mergeCell ref="C109:D109"/>
    <mergeCell ref="C110:D110"/>
    <mergeCell ref="C114:D114"/>
    <mergeCell ref="C101:D101"/>
    <mergeCell ref="C102:D102"/>
    <mergeCell ref="C104:D104"/>
    <mergeCell ref="C105:D105"/>
    <mergeCell ref="C107:D107"/>
  </mergeCells>
  <conditionalFormatting sqref="G85:G122">
    <cfRule type="cellIs" dxfId="106" priority="3" operator="lessThan">
      <formula>0</formula>
    </cfRule>
  </conditionalFormatting>
  <conditionalFormatting sqref="D75:D79">
    <cfRule type="cellIs" dxfId="105" priority="2" operator="lessThan">
      <formula>0</formula>
    </cfRule>
  </conditionalFormatting>
  <conditionalFormatting sqref="G75:G78">
    <cfRule type="cellIs" dxfId="104" priority="1" operator="lessThan">
      <formula>0</formula>
    </cfRule>
  </conditionalFormatting>
  <hyperlinks>
    <hyperlink ref="B3" r:id="rId1"/>
  </hyperlinks>
  <pageMargins left="0.70866141732283472" right="0.21" top="0.41" bottom="0.74803149606299213" header="0.31496062992125984" footer="0.31496062992125984"/>
  <pageSetup paperSize="9" scale="78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opLeftCell="A52" zoomScaleNormal="100" zoomScaleSheetLayoutView="100" workbookViewId="0">
      <selection activeCell="D36" sqref="D36:D37"/>
    </sheetView>
  </sheetViews>
  <sheetFormatPr baseColWidth="10" defaultRowHeight="12.75" x14ac:dyDescent="0.2"/>
  <cols>
    <col min="1" max="1" width="11.42578125" style="1"/>
    <col min="2" max="2" width="15" style="1" customWidth="1"/>
    <col min="3" max="3" width="22.5703125" style="1" customWidth="1"/>
    <col min="4" max="4" width="19" style="1" customWidth="1"/>
    <col min="5" max="5" width="10.42578125" style="1" bestFit="1" customWidth="1"/>
    <col min="6" max="6" width="16.85546875" style="1" customWidth="1"/>
    <col min="7" max="7" width="20.7109375" style="1" customWidth="1"/>
    <col min="8" max="8" width="7" style="1" bestFit="1" customWidth="1"/>
    <col min="9" max="9" width="18.85546875" style="1" customWidth="1"/>
    <col min="10" max="10" width="18.85546875" style="1" bestFit="1" customWidth="1"/>
    <col min="11" max="11" width="9" style="1" bestFit="1" customWidth="1"/>
    <col min="12" max="12" width="23.140625" style="1" bestFit="1" customWidth="1"/>
    <col min="13" max="13" width="13.85546875" style="1" bestFit="1" customWidth="1"/>
    <col min="14" max="14" width="8" style="1" bestFit="1" customWidth="1"/>
    <col min="15" max="15" width="7.28515625" style="1" bestFit="1" customWidth="1"/>
    <col min="16" max="16" width="11.5703125" style="1" bestFit="1" customWidth="1"/>
    <col min="17" max="16384" width="11.42578125" style="1"/>
  </cols>
  <sheetData>
    <row r="1" spans="1:7" ht="30" x14ac:dyDescent="0.4">
      <c r="A1" s="102" t="s">
        <v>68</v>
      </c>
    </row>
    <row r="2" spans="1:7" ht="15.75" x14ac:dyDescent="0.25">
      <c r="A2" s="104" t="s">
        <v>63</v>
      </c>
      <c r="B2" s="103" t="s">
        <v>64</v>
      </c>
      <c r="C2" s="103"/>
      <c r="D2" s="103"/>
      <c r="E2" s="103"/>
      <c r="F2" s="103"/>
    </row>
    <row r="3" spans="1:7" ht="15.75" x14ac:dyDescent="0.25">
      <c r="A3" s="103"/>
      <c r="B3" s="105" t="s">
        <v>65</v>
      </c>
      <c r="C3" s="103"/>
      <c r="D3" s="103"/>
      <c r="E3" s="103"/>
      <c r="F3" s="103"/>
    </row>
    <row r="4" spans="1:7" ht="15.75" x14ac:dyDescent="0.25">
      <c r="A4" s="103"/>
      <c r="B4" s="103"/>
      <c r="C4" s="103"/>
      <c r="D4" s="103"/>
      <c r="E4" s="103"/>
      <c r="F4" s="103"/>
    </row>
    <row r="5" spans="1:7" ht="15.75" x14ac:dyDescent="0.25">
      <c r="A5" s="103"/>
      <c r="B5" s="103" t="s">
        <v>69</v>
      </c>
      <c r="C5" s="103"/>
      <c r="D5" s="103"/>
      <c r="E5" s="103"/>
      <c r="F5" s="103"/>
    </row>
    <row r="6" spans="1:7" ht="15.75" x14ac:dyDescent="0.25">
      <c r="A6" s="103"/>
      <c r="B6" s="103" t="s">
        <v>66</v>
      </c>
      <c r="C6" s="103"/>
      <c r="D6" s="103"/>
      <c r="E6" s="103"/>
      <c r="F6" s="103"/>
    </row>
    <row r="7" spans="1:7" ht="15.75" x14ac:dyDescent="0.25">
      <c r="A7" s="103"/>
      <c r="B7" s="103" t="s">
        <v>67</v>
      </c>
      <c r="C7" s="103"/>
      <c r="D7" s="103"/>
      <c r="E7" s="103"/>
      <c r="F7" s="103"/>
    </row>
    <row r="8" spans="1:7" ht="14.25" x14ac:dyDescent="0.2">
      <c r="B8" s="38"/>
      <c r="C8" s="38"/>
      <c r="D8" s="38"/>
      <c r="E8" s="38"/>
      <c r="F8" s="38"/>
    </row>
    <row r="9" spans="1:7" ht="17.25" x14ac:dyDescent="0.3">
      <c r="A9" s="292" t="s">
        <v>181</v>
      </c>
      <c r="B9" s="292"/>
      <c r="C9" s="292"/>
    </row>
    <row r="11" spans="1:7" ht="23.25" x14ac:dyDescent="0.35">
      <c r="A11" s="101" t="s">
        <v>25</v>
      </c>
    </row>
    <row r="12" spans="1:7" ht="15.75" x14ac:dyDescent="0.25">
      <c r="C12" s="269" t="s">
        <v>0</v>
      </c>
      <c r="D12" s="269"/>
      <c r="E12" s="269"/>
      <c r="F12" s="269"/>
    </row>
    <row r="13" spans="1:7" ht="13.5" thickBot="1" x14ac:dyDescent="0.25"/>
    <row r="14" spans="1:7" s="65" customFormat="1" ht="27" customHeight="1" thickBot="1" x14ac:dyDescent="0.3">
      <c r="C14" s="43" t="s">
        <v>20</v>
      </c>
      <c r="D14" s="42" t="s">
        <v>5</v>
      </c>
      <c r="E14" s="270" t="s">
        <v>1</v>
      </c>
      <c r="F14" s="270"/>
      <c r="G14" s="66" t="s">
        <v>85</v>
      </c>
    </row>
    <row r="15" spans="1:7" ht="16.5" thickBot="1" x14ac:dyDescent="0.3">
      <c r="B15" s="3" t="s">
        <v>48</v>
      </c>
      <c r="C15" s="149">
        <v>9750337</v>
      </c>
      <c r="D15" s="4" t="s">
        <v>21</v>
      </c>
      <c r="E15" s="5">
        <v>0.38500000000000001</v>
      </c>
      <c r="F15" s="6" t="s">
        <v>2</v>
      </c>
      <c r="G15" s="49">
        <f>C15*E15/1000</f>
        <v>3753.8797450000002</v>
      </c>
    </row>
    <row r="16" spans="1:7" ht="16.5" thickBot="1" x14ac:dyDescent="0.3">
      <c r="B16" s="3" t="s">
        <v>49</v>
      </c>
      <c r="C16" s="48"/>
      <c r="D16" s="4" t="s">
        <v>21</v>
      </c>
      <c r="E16" s="5">
        <v>0.38500000000000001</v>
      </c>
      <c r="F16" s="6" t="s">
        <v>2</v>
      </c>
      <c r="G16" s="49">
        <f>C16*E16</f>
        <v>0</v>
      </c>
    </row>
    <row r="17" spans="2:11" x14ac:dyDescent="0.2">
      <c r="G17" s="55">
        <f>SUM(G15:G16)</f>
        <v>3753.8797450000002</v>
      </c>
    </row>
    <row r="18" spans="2:11" ht="15.75" x14ac:dyDescent="0.25">
      <c r="C18" s="269" t="s">
        <v>3</v>
      </c>
      <c r="D18" s="269"/>
      <c r="E18" s="269"/>
      <c r="F18" s="269"/>
      <c r="G18" s="55"/>
    </row>
    <row r="19" spans="2:11" ht="13.5" thickBot="1" x14ac:dyDescent="0.25"/>
    <row r="20" spans="2:11" s="46" customFormat="1" ht="30.75" customHeight="1" thickBot="1" x14ac:dyDescent="0.3">
      <c r="B20" s="59" t="s">
        <v>4</v>
      </c>
      <c r="C20" s="60" t="s">
        <v>20</v>
      </c>
      <c r="D20" s="62" t="s">
        <v>5</v>
      </c>
      <c r="E20" s="266" t="s">
        <v>7</v>
      </c>
      <c r="F20" s="271"/>
      <c r="G20" s="64" t="s">
        <v>21</v>
      </c>
      <c r="H20" s="266" t="s">
        <v>1</v>
      </c>
      <c r="I20" s="267"/>
      <c r="J20" s="66" t="s">
        <v>85</v>
      </c>
    </row>
    <row r="21" spans="2:11" ht="15.75" x14ac:dyDescent="0.25">
      <c r="B21" s="11" t="s">
        <v>8</v>
      </c>
      <c r="C21" s="145">
        <v>214728.08844620996</v>
      </c>
      <c r="D21" s="13" t="s">
        <v>24</v>
      </c>
      <c r="E21" s="14">
        <v>10.7056</v>
      </c>
      <c r="F21" s="15" t="s">
        <v>27</v>
      </c>
      <c r="G21" s="87">
        <f>C21*E21</f>
        <v>2298793.0236697453</v>
      </c>
      <c r="H21" s="14">
        <v>0.2016</v>
      </c>
      <c r="I21" s="14" t="s">
        <v>2</v>
      </c>
      <c r="J21" s="88">
        <f>G21*H21/1000</f>
        <v>463.43667357182068</v>
      </c>
    </row>
    <row r="22" spans="2:11" ht="26.25" x14ac:dyDescent="0.25">
      <c r="B22" s="16" t="s">
        <v>26</v>
      </c>
      <c r="C22" s="146">
        <v>40274</v>
      </c>
      <c r="D22" s="18" t="s">
        <v>9</v>
      </c>
      <c r="E22" s="19">
        <v>10.6</v>
      </c>
      <c r="F22" s="20" t="s">
        <v>10</v>
      </c>
      <c r="G22" s="87">
        <f t="shared" ref="G22:G26" si="0">C22*E22</f>
        <v>426904.39999999997</v>
      </c>
      <c r="H22" s="19">
        <v>0.26279999999999998</v>
      </c>
      <c r="I22" s="19" t="s">
        <v>2</v>
      </c>
      <c r="J22" s="88">
        <f t="shared" ref="J22:J26" si="1">G22*H22/1000</f>
        <v>112.19047631999999</v>
      </c>
    </row>
    <row r="23" spans="2:11" ht="39" x14ac:dyDescent="0.25">
      <c r="B23" s="16" t="s">
        <v>30</v>
      </c>
      <c r="C23" s="146">
        <v>16000</v>
      </c>
      <c r="D23" s="18" t="s">
        <v>11</v>
      </c>
      <c r="E23" s="19">
        <v>11.161099999999999</v>
      </c>
      <c r="F23" s="20" t="s">
        <v>12</v>
      </c>
      <c r="G23" s="87">
        <f t="shared" si="0"/>
        <v>178577.59999999998</v>
      </c>
      <c r="H23" s="19">
        <v>0</v>
      </c>
      <c r="I23" s="19" t="s">
        <v>2</v>
      </c>
      <c r="J23" s="88">
        <f t="shared" si="1"/>
        <v>0</v>
      </c>
    </row>
    <row r="24" spans="2:11" ht="15.75" x14ac:dyDescent="0.25">
      <c r="B24" s="16" t="s">
        <v>31</v>
      </c>
      <c r="C24" s="146"/>
      <c r="D24" s="18" t="s">
        <v>11</v>
      </c>
      <c r="E24" s="19">
        <v>12.6389</v>
      </c>
      <c r="F24" s="20" t="s">
        <v>12</v>
      </c>
      <c r="G24" s="87">
        <f t="shared" si="0"/>
        <v>0</v>
      </c>
      <c r="H24" s="19">
        <v>0.23400000000000001</v>
      </c>
      <c r="I24" s="19" t="s">
        <v>2</v>
      </c>
      <c r="J24" s="88">
        <f t="shared" si="1"/>
        <v>0</v>
      </c>
    </row>
    <row r="25" spans="2:11" ht="15.75" x14ac:dyDescent="0.25">
      <c r="B25" s="16" t="s">
        <v>28</v>
      </c>
      <c r="C25" s="146"/>
      <c r="D25" s="18" t="s">
        <v>11</v>
      </c>
      <c r="E25" s="19">
        <v>5.6971999999999996</v>
      </c>
      <c r="F25" s="20" t="s">
        <v>12</v>
      </c>
      <c r="G25" s="87">
        <f t="shared" si="0"/>
        <v>0</v>
      </c>
      <c r="H25" s="19">
        <v>0.4032</v>
      </c>
      <c r="I25" s="19" t="s">
        <v>2</v>
      </c>
      <c r="J25" s="88">
        <f t="shared" si="1"/>
        <v>0</v>
      </c>
    </row>
    <row r="26" spans="2:11" ht="26.25" x14ac:dyDescent="0.25">
      <c r="B26" s="16" t="s">
        <v>29</v>
      </c>
      <c r="C26" s="146"/>
      <c r="D26" s="18" t="s">
        <v>11</v>
      </c>
      <c r="E26" s="19">
        <v>7.0917000000000003</v>
      </c>
      <c r="F26" s="20" t="s">
        <v>12</v>
      </c>
      <c r="G26" s="87">
        <f t="shared" si="0"/>
        <v>0</v>
      </c>
      <c r="H26" s="19">
        <v>0</v>
      </c>
      <c r="I26" s="19" t="s">
        <v>2</v>
      </c>
      <c r="J26" s="88">
        <f t="shared" si="1"/>
        <v>0</v>
      </c>
    </row>
    <row r="27" spans="2:11" ht="16.5" thickBot="1" x14ac:dyDescent="0.3">
      <c r="B27" s="21"/>
      <c r="C27" s="147"/>
      <c r="D27" s="23"/>
      <c r="E27" s="24"/>
      <c r="F27" s="25"/>
      <c r="G27" s="93"/>
      <c r="H27" s="24"/>
      <c r="I27" s="24"/>
      <c r="J27" s="89">
        <f>SUM(J21:J26)</f>
        <v>575.62714989182064</v>
      </c>
    </row>
    <row r="28" spans="2:11" x14ac:dyDescent="0.2"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5.75" customHeight="1" x14ac:dyDescent="0.25">
      <c r="C29" s="269" t="s">
        <v>13</v>
      </c>
      <c r="D29" s="269"/>
      <c r="E29" s="269"/>
      <c r="F29" s="269"/>
      <c r="G29" s="26"/>
      <c r="H29" s="2" t="s">
        <v>81</v>
      </c>
      <c r="I29" s="26"/>
      <c r="J29" s="26"/>
      <c r="K29" s="26"/>
    </row>
    <row r="30" spans="2:11" ht="15.75" customHeight="1" thickBot="1" x14ac:dyDescent="0.3">
      <c r="C30" s="106"/>
      <c r="D30" s="106"/>
      <c r="E30" s="106"/>
      <c r="F30" s="106"/>
      <c r="G30" s="26"/>
      <c r="H30" s="2"/>
      <c r="I30" s="26"/>
      <c r="J30" s="26"/>
      <c r="K30" s="26"/>
    </row>
    <row r="31" spans="2:11" ht="39.75" customHeight="1" thickBot="1" x14ac:dyDescent="0.25">
      <c r="B31" s="27" t="s">
        <v>23</v>
      </c>
      <c r="C31" s="39" t="s">
        <v>20</v>
      </c>
      <c r="D31" s="42" t="s">
        <v>5</v>
      </c>
      <c r="E31" s="266" t="s">
        <v>6</v>
      </c>
      <c r="F31" s="271"/>
      <c r="G31" s="66" t="s">
        <v>85</v>
      </c>
      <c r="H31" s="26"/>
      <c r="I31" s="59"/>
      <c r="J31" s="60" t="s">
        <v>82</v>
      </c>
    </row>
    <row r="32" spans="2:11" ht="27" thickBot="1" x14ac:dyDescent="0.3">
      <c r="B32" s="28" t="s">
        <v>14</v>
      </c>
      <c r="C32" s="86"/>
      <c r="D32" s="29" t="s">
        <v>11</v>
      </c>
      <c r="E32" s="30">
        <v>3</v>
      </c>
      <c r="F32" s="14" t="s">
        <v>15</v>
      </c>
      <c r="G32" s="153">
        <f>C32*E32/1000</f>
        <v>0</v>
      </c>
      <c r="I32" s="11" t="s">
        <v>22</v>
      </c>
      <c r="J32" s="152">
        <v>1501377.17950031</v>
      </c>
      <c r="K32" s="26"/>
    </row>
    <row r="33" spans="1:11" ht="26.25" customHeight="1" thickBot="1" x14ac:dyDescent="0.3">
      <c r="B33" s="32" t="s">
        <v>16</v>
      </c>
      <c r="C33" s="91"/>
      <c r="D33" s="33" t="s">
        <v>11</v>
      </c>
      <c r="E33" s="34">
        <v>1.8</v>
      </c>
      <c r="F33" s="19" t="s">
        <v>17</v>
      </c>
      <c r="G33" s="153">
        <f t="shared" ref="G33:G34" si="2">C33*E33/1000</f>
        <v>0</v>
      </c>
      <c r="I33" s="16" t="s">
        <v>8</v>
      </c>
      <c r="J33" s="152">
        <v>120558.24</v>
      </c>
      <c r="K33" s="26"/>
    </row>
    <row r="34" spans="1:11" ht="27" thickBot="1" x14ac:dyDescent="0.3">
      <c r="B34" s="35" t="s">
        <v>18</v>
      </c>
      <c r="C34" s="146">
        <v>79851</v>
      </c>
      <c r="D34" s="36" t="s">
        <v>24</v>
      </c>
      <c r="E34" s="37">
        <v>0.78800000000000003</v>
      </c>
      <c r="F34" s="24" t="s">
        <v>19</v>
      </c>
      <c r="G34" s="153">
        <f t="shared" si="2"/>
        <v>62.922588000000005</v>
      </c>
      <c r="I34" s="16" t="s">
        <v>26</v>
      </c>
      <c r="J34" s="152">
        <v>25663.539999999997</v>
      </c>
    </row>
    <row r="35" spans="1:11" ht="25.5" x14ac:dyDescent="0.2">
      <c r="I35" s="16" t="s">
        <v>30</v>
      </c>
      <c r="J35" s="152">
        <v>5082</v>
      </c>
    </row>
    <row r="36" spans="1:11" x14ac:dyDescent="0.2">
      <c r="I36" s="84" t="s">
        <v>76</v>
      </c>
      <c r="J36" s="152">
        <f>SUM(J32:J35)</f>
        <v>1652680.95950031</v>
      </c>
    </row>
    <row r="37" spans="1:11" x14ac:dyDescent="0.2">
      <c r="I37" s="85" t="s">
        <v>18</v>
      </c>
      <c r="J37" s="152">
        <v>197655.52068694742</v>
      </c>
    </row>
    <row r="39" spans="1:11" ht="23.25" x14ac:dyDescent="0.35">
      <c r="A39" s="101" t="s">
        <v>105</v>
      </c>
    </row>
    <row r="40" spans="1:11" ht="14.25" x14ac:dyDescent="0.2">
      <c r="B40" s="38"/>
      <c r="C40" s="38"/>
      <c r="D40" s="38"/>
      <c r="E40" s="38"/>
      <c r="F40" s="38"/>
    </row>
    <row r="41" spans="1:11" ht="15.75" x14ac:dyDescent="0.25">
      <c r="C41" s="2" t="s">
        <v>32</v>
      </c>
      <c r="D41" s="2"/>
    </row>
    <row r="42" spans="1:11" ht="13.5" thickBot="1" x14ac:dyDescent="0.25"/>
    <row r="43" spans="1:11" ht="27" customHeight="1" thickBot="1" x14ac:dyDescent="0.25">
      <c r="C43" s="43" t="s">
        <v>20</v>
      </c>
      <c r="D43" s="42" t="s">
        <v>5</v>
      </c>
      <c r="E43" s="270" t="s">
        <v>34</v>
      </c>
      <c r="F43" s="270"/>
      <c r="G43" s="41" t="s">
        <v>35</v>
      </c>
    </row>
    <row r="44" spans="1:11" s="46" customFormat="1" ht="26.25" thickBot="1" x14ac:dyDescent="0.3">
      <c r="B44" s="50" t="s">
        <v>22</v>
      </c>
      <c r="C44" s="148">
        <f>$C$15</f>
        <v>9750337</v>
      </c>
      <c r="D44" s="51" t="s">
        <v>21</v>
      </c>
      <c r="E44" s="52">
        <v>2.403</v>
      </c>
      <c r="F44" s="53" t="s">
        <v>33</v>
      </c>
      <c r="G44" s="54">
        <f>C44*E44</f>
        <v>23430059.811000001</v>
      </c>
    </row>
    <row r="46" spans="1:11" ht="15.75" x14ac:dyDescent="0.25">
      <c r="C46" s="269"/>
      <c r="D46" s="269"/>
    </row>
    <row r="47" spans="1:11" ht="13.5" thickBot="1" x14ac:dyDescent="0.25"/>
    <row r="48" spans="1:11" ht="30.75" customHeight="1" thickBot="1" x14ac:dyDescent="0.25">
      <c r="B48" s="7" t="s">
        <v>4</v>
      </c>
      <c r="C48" s="8" t="s">
        <v>20</v>
      </c>
      <c r="D48" s="40" t="s">
        <v>5</v>
      </c>
      <c r="E48" s="274" t="s">
        <v>7</v>
      </c>
      <c r="F48" s="275"/>
      <c r="G48" s="10" t="s">
        <v>21</v>
      </c>
      <c r="H48" s="276" t="s">
        <v>34</v>
      </c>
      <c r="I48" s="276"/>
      <c r="J48" s="41" t="s">
        <v>35</v>
      </c>
    </row>
    <row r="49" spans="1:11" ht="27" thickBot="1" x14ac:dyDescent="0.3">
      <c r="B49" s="11" t="s">
        <v>8</v>
      </c>
      <c r="C49" s="145">
        <f t="shared" ref="C49:C54" si="3">C21</f>
        <v>214728.08844620996</v>
      </c>
      <c r="D49" s="13" t="s">
        <v>24</v>
      </c>
      <c r="E49" s="14">
        <v>10.7056</v>
      </c>
      <c r="F49" s="15" t="s">
        <v>27</v>
      </c>
      <c r="G49" s="87">
        <f>C49*E49</f>
        <v>2298793.0236697453</v>
      </c>
      <c r="H49" s="14">
        <v>1.1950000000000001</v>
      </c>
      <c r="I49" s="6" t="s">
        <v>33</v>
      </c>
      <c r="J49" s="88">
        <f>G49*H49</f>
        <v>2747057.6632853458</v>
      </c>
    </row>
    <row r="50" spans="1:11" ht="27" thickBot="1" x14ac:dyDescent="0.3">
      <c r="B50" s="16" t="s">
        <v>26</v>
      </c>
      <c r="C50" s="146">
        <f t="shared" si="3"/>
        <v>40274</v>
      </c>
      <c r="D50" s="18" t="s">
        <v>9</v>
      </c>
      <c r="E50" s="19">
        <v>10.6</v>
      </c>
      <c r="F50" s="20" t="s">
        <v>10</v>
      </c>
      <c r="G50" s="87">
        <f t="shared" ref="G50:G54" si="4">C50*E50</f>
        <v>426904.39999999997</v>
      </c>
      <c r="H50" s="19">
        <v>1.1819999999999999</v>
      </c>
      <c r="I50" s="6" t="s">
        <v>33</v>
      </c>
      <c r="J50" s="88">
        <f t="shared" ref="J50:J54" si="5">G50*H50</f>
        <v>504601.00079999992</v>
      </c>
    </row>
    <row r="51" spans="1:11" ht="39.75" thickBot="1" x14ac:dyDescent="0.3">
      <c r="B51" s="16" t="s">
        <v>30</v>
      </c>
      <c r="C51" s="146">
        <f t="shared" si="3"/>
        <v>16000</v>
      </c>
      <c r="D51" s="18" t="s">
        <v>11</v>
      </c>
      <c r="E51" s="19">
        <v>11.161099999999999</v>
      </c>
      <c r="F51" s="20" t="s">
        <v>12</v>
      </c>
      <c r="G51" s="87">
        <f t="shared" si="4"/>
        <v>178577.59999999998</v>
      </c>
      <c r="H51" s="19">
        <v>1.113</v>
      </c>
      <c r="I51" s="6" t="s">
        <v>33</v>
      </c>
      <c r="J51" s="88">
        <f t="shared" si="5"/>
        <v>198756.86879999997</v>
      </c>
    </row>
    <row r="52" spans="1:11" ht="27" thickBot="1" x14ac:dyDescent="0.3">
      <c r="B52" s="16" t="s">
        <v>31</v>
      </c>
      <c r="C52" s="146">
        <f t="shared" si="3"/>
        <v>0</v>
      </c>
      <c r="D52" s="18" t="s">
        <v>11</v>
      </c>
      <c r="E52" s="19">
        <v>12.6389</v>
      </c>
      <c r="F52" s="20" t="s">
        <v>12</v>
      </c>
      <c r="G52" s="87">
        <f t="shared" si="4"/>
        <v>0</v>
      </c>
      <c r="H52" s="19">
        <v>1.204</v>
      </c>
      <c r="I52" s="6" t="s">
        <v>33</v>
      </c>
      <c r="J52" s="88">
        <f t="shared" si="5"/>
        <v>0</v>
      </c>
    </row>
    <row r="53" spans="1:11" ht="27" thickBot="1" x14ac:dyDescent="0.3">
      <c r="B53" s="16" t="s">
        <v>28</v>
      </c>
      <c r="C53" s="146">
        <f t="shared" si="3"/>
        <v>0</v>
      </c>
      <c r="D53" s="18" t="s">
        <v>11</v>
      </c>
      <c r="E53" s="19">
        <v>5.6971999999999996</v>
      </c>
      <c r="F53" s="20" t="s">
        <v>12</v>
      </c>
      <c r="G53" s="87">
        <f t="shared" si="4"/>
        <v>0</v>
      </c>
      <c r="H53" s="19">
        <v>1.0840000000000001</v>
      </c>
      <c r="I53" s="6" t="s">
        <v>33</v>
      </c>
      <c r="J53" s="88">
        <f t="shared" si="5"/>
        <v>0</v>
      </c>
    </row>
    <row r="54" spans="1:11" ht="27" thickBot="1" x14ac:dyDescent="0.3">
      <c r="B54" s="16" t="s">
        <v>29</v>
      </c>
      <c r="C54" s="146">
        <f t="shared" si="3"/>
        <v>0</v>
      </c>
      <c r="D54" s="18" t="s">
        <v>11</v>
      </c>
      <c r="E54" s="19">
        <v>7.0917000000000003</v>
      </c>
      <c r="F54" s="20" t="s">
        <v>12</v>
      </c>
      <c r="G54" s="87">
        <f t="shared" si="4"/>
        <v>0</v>
      </c>
      <c r="H54" s="19">
        <v>1.0369999999999999</v>
      </c>
      <c r="I54" s="6" t="s">
        <v>33</v>
      </c>
      <c r="J54" s="88">
        <f t="shared" si="5"/>
        <v>0</v>
      </c>
    </row>
    <row r="55" spans="1:11" ht="16.5" thickBot="1" x14ac:dyDescent="0.3">
      <c r="B55" s="21"/>
      <c r="C55" s="147"/>
      <c r="D55" s="23"/>
      <c r="E55" s="24"/>
      <c r="F55" s="25"/>
      <c r="G55" s="93">
        <f>SUM(G49:G54)</f>
        <v>2904275.0236697453</v>
      </c>
      <c r="H55" s="24"/>
      <c r="I55" s="24"/>
      <c r="J55" s="89">
        <f>SUM(J49:J54)</f>
        <v>3450415.5328853456</v>
      </c>
    </row>
    <row r="56" spans="1:11" x14ac:dyDescent="0.2">
      <c r="C56" s="26"/>
      <c r="D56" s="26"/>
      <c r="E56" s="26"/>
      <c r="F56" s="26"/>
      <c r="G56" s="26"/>
      <c r="H56" s="26"/>
      <c r="I56" s="26"/>
      <c r="J56" s="26"/>
      <c r="K56" s="26"/>
    </row>
    <row r="57" spans="1:11" ht="18.75" x14ac:dyDescent="0.3">
      <c r="A57" s="100" t="s">
        <v>136</v>
      </c>
      <c r="H57" s="26"/>
      <c r="I57" s="26"/>
      <c r="J57" s="26"/>
      <c r="K57" s="26"/>
    </row>
    <row r="58" spans="1:11" ht="15.75" x14ac:dyDescent="0.25">
      <c r="C58" s="2" t="s">
        <v>0</v>
      </c>
      <c r="D58" s="2"/>
      <c r="H58" s="26"/>
      <c r="I58" s="26"/>
      <c r="J58" s="26"/>
      <c r="K58" s="26"/>
    </row>
    <row r="59" spans="1:11" ht="13.5" thickBot="1" x14ac:dyDescent="0.25">
      <c r="H59" s="26"/>
      <c r="I59" s="26"/>
      <c r="J59" s="26"/>
      <c r="K59" s="26"/>
    </row>
    <row r="60" spans="1:11" ht="31.5" customHeight="1" thickBot="1" x14ac:dyDescent="0.25">
      <c r="A60" s="65"/>
      <c r="B60" s="65"/>
      <c r="C60" s="43" t="s">
        <v>107</v>
      </c>
      <c r="D60" s="42" t="s">
        <v>5</v>
      </c>
      <c r="E60" s="270" t="s">
        <v>134</v>
      </c>
      <c r="F60" s="270"/>
      <c r="G60" s="66" t="s">
        <v>182</v>
      </c>
      <c r="H60" s="26"/>
      <c r="I60" s="26"/>
      <c r="J60" s="26"/>
      <c r="K60" s="26"/>
    </row>
    <row r="61" spans="1:11" ht="16.5" thickBot="1" x14ac:dyDescent="0.3">
      <c r="B61" s="278" t="s">
        <v>22</v>
      </c>
      <c r="C61" s="281">
        <v>113154</v>
      </c>
      <c r="D61" s="284" t="s">
        <v>21</v>
      </c>
      <c r="E61" s="5">
        <v>0.35699999999999998</v>
      </c>
      <c r="F61" s="6" t="s">
        <v>2</v>
      </c>
      <c r="G61" s="109">
        <f>-(C61*E61/1000)</f>
        <v>-40.395977999999992</v>
      </c>
      <c r="H61" s="26"/>
      <c r="I61" s="26"/>
      <c r="J61" s="26"/>
      <c r="K61" s="26"/>
    </row>
    <row r="62" spans="1:11" ht="16.5" thickBot="1" x14ac:dyDescent="0.3">
      <c r="B62" s="279"/>
      <c r="C62" s="282"/>
      <c r="D62" s="285"/>
      <c r="E62" s="5">
        <v>0.36659999999999998</v>
      </c>
      <c r="F62" s="6" t="s">
        <v>133</v>
      </c>
      <c r="G62" s="110">
        <f>-(C61*E62/1000)/1000</f>
        <v>-4.14822564E-2</v>
      </c>
      <c r="H62" s="26"/>
      <c r="I62" s="26"/>
      <c r="J62" s="26"/>
      <c r="K62" s="26"/>
    </row>
    <row r="63" spans="1:11" ht="16.5" thickBot="1" x14ac:dyDescent="0.3">
      <c r="B63" s="280"/>
      <c r="C63" s="283"/>
      <c r="D63" s="286"/>
      <c r="E63" s="5">
        <v>0.26100000000000001</v>
      </c>
      <c r="F63" s="6" t="s">
        <v>137</v>
      </c>
      <c r="G63" s="110">
        <f>-(C61*E63/1000)/1000</f>
        <v>-2.9533193999999999E-2</v>
      </c>
      <c r="H63" s="26"/>
      <c r="I63" s="26"/>
      <c r="J63" s="26"/>
      <c r="K63" s="26"/>
    </row>
    <row r="64" spans="1:11" x14ac:dyDescent="0.2">
      <c r="C64" s="26"/>
      <c r="D64" s="26"/>
      <c r="E64" s="26"/>
      <c r="F64" s="26"/>
      <c r="G64" s="26" t="s">
        <v>106</v>
      </c>
      <c r="H64" s="26"/>
      <c r="I64" s="26"/>
      <c r="J64" s="26"/>
      <c r="K64" s="26"/>
    </row>
    <row r="65" spans="1:19" ht="23.25" x14ac:dyDescent="0.35">
      <c r="A65" s="101" t="s">
        <v>152</v>
      </c>
      <c r="C65" s="26"/>
      <c r="D65" s="26"/>
      <c r="E65" s="26"/>
      <c r="F65" s="26"/>
      <c r="G65" s="26"/>
      <c r="H65" s="26"/>
      <c r="I65" s="26"/>
      <c r="J65" s="26"/>
      <c r="K65" s="26"/>
    </row>
    <row r="66" spans="1:19" ht="15.75" x14ac:dyDescent="0.25">
      <c r="B66" s="2" t="s">
        <v>130</v>
      </c>
      <c r="C66" s="26"/>
      <c r="D66" s="26"/>
      <c r="E66" s="26"/>
      <c r="F66" s="26"/>
      <c r="G66" s="26"/>
      <c r="H66" s="26"/>
      <c r="I66" s="26"/>
      <c r="J66" s="26"/>
      <c r="K66" s="26"/>
    </row>
    <row r="67" spans="1:19" ht="25.5" x14ac:dyDescent="0.2">
      <c r="A67" s="135" t="s">
        <v>146</v>
      </c>
      <c r="B67" s="136" t="s">
        <v>36</v>
      </c>
      <c r="C67" s="137"/>
      <c r="D67" s="74">
        <f>G44+J55</f>
        <v>26880475.343885347</v>
      </c>
      <c r="E67" s="82" t="s">
        <v>21</v>
      </c>
      <c r="F67" s="67" t="s">
        <v>45</v>
      </c>
      <c r="G67" s="73">
        <v>192576.56000000003</v>
      </c>
      <c r="H67" s="44" t="s">
        <v>75</v>
      </c>
      <c r="I67" s="26"/>
      <c r="P67" s="272" t="s">
        <v>58</v>
      </c>
      <c r="Q67" s="272"/>
      <c r="R67" s="272"/>
      <c r="S67" s="75" t="s">
        <v>80</v>
      </c>
    </row>
    <row r="68" spans="1:19" ht="25.5" x14ac:dyDescent="0.2">
      <c r="A68" s="135" t="s">
        <v>147</v>
      </c>
      <c r="B68" s="136" t="s">
        <v>37</v>
      </c>
      <c r="C68" s="138"/>
      <c r="D68" s="74">
        <f>C44+G55</f>
        <v>12654612.023669746</v>
      </c>
      <c r="E68" s="77" t="s">
        <v>21</v>
      </c>
      <c r="F68" s="67" t="s">
        <v>41</v>
      </c>
      <c r="G68" s="78">
        <f>$F$78</f>
        <v>1488</v>
      </c>
      <c r="P68" s="68" t="s">
        <v>59</v>
      </c>
      <c r="Q68" s="47" t="s">
        <v>43</v>
      </c>
      <c r="R68" s="69">
        <v>3425</v>
      </c>
      <c r="S68" s="76" t="e">
        <f>(R68-#REF!)/#REF!</f>
        <v>#REF!</v>
      </c>
    </row>
    <row r="69" spans="1:19" ht="25.5" x14ac:dyDescent="0.2">
      <c r="A69" s="135" t="s">
        <v>148</v>
      </c>
      <c r="B69" s="136" t="s">
        <v>38</v>
      </c>
      <c r="C69" s="138"/>
      <c r="D69" s="74">
        <f>G15+J27</f>
        <v>4329.5068948918206</v>
      </c>
      <c r="E69" s="77" t="s">
        <v>88</v>
      </c>
      <c r="F69" s="67" t="s">
        <v>42</v>
      </c>
      <c r="G69" s="78">
        <f>$C$79</f>
        <v>14710</v>
      </c>
      <c r="P69" s="70" t="s">
        <v>60</v>
      </c>
      <c r="Q69" s="47" t="s">
        <v>61</v>
      </c>
      <c r="R69" s="71">
        <v>68</v>
      </c>
      <c r="S69" s="76" t="e">
        <f>(R69-#REF!)/#REF!</f>
        <v>#REF!</v>
      </c>
    </row>
    <row r="70" spans="1:19" ht="38.25" x14ac:dyDescent="0.2">
      <c r="A70" s="135" t="s">
        <v>149</v>
      </c>
      <c r="B70" s="136" t="s">
        <v>39</v>
      </c>
      <c r="C70" s="138"/>
      <c r="D70" s="74">
        <f>D68*0.366/1000</f>
        <v>4631.5880006631269</v>
      </c>
      <c r="E70" s="77" t="s">
        <v>89</v>
      </c>
      <c r="F70" s="140" t="s">
        <v>169</v>
      </c>
      <c r="G70" s="80">
        <f>G68+G69</f>
        <v>16198</v>
      </c>
      <c r="P70" s="47"/>
      <c r="Q70" s="47" t="s">
        <v>62</v>
      </c>
      <c r="R70" s="71">
        <v>1757</v>
      </c>
      <c r="S70" s="76" t="e">
        <f>(R70-#REF!)/#REF!</f>
        <v>#REF!</v>
      </c>
    </row>
    <row r="71" spans="1:19" ht="15" x14ac:dyDescent="0.2">
      <c r="A71" s="135" t="s">
        <v>150</v>
      </c>
      <c r="B71" s="136" t="s">
        <v>40</v>
      </c>
      <c r="C71" s="138"/>
      <c r="D71" s="74">
        <f>D68*0.261/1000</f>
        <v>3302.8537381778037</v>
      </c>
      <c r="E71" s="77" t="s">
        <v>89</v>
      </c>
      <c r="F71" s="72"/>
      <c r="G71" s="72"/>
    </row>
    <row r="72" spans="1:19" ht="27.75" customHeight="1" x14ac:dyDescent="0.25">
      <c r="A72" s="135" t="s">
        <v>151</v>
      </c>
      <c r="B72" s="273" t="s">
        <v>138</v>
      </c>
      <c r="C72" s="273"/>
      <c r="D72" s="74">
        <v>116572</v>
      </c>
      <c r="E72" s="67" t="s">
        <v>21</v>
      </c>
      <c r="F72"/>
      <c r="G72"/>
      <c r="H72"/>
      <c r="I72"/>
      <c r="J72"/>
    </row>
    <row r="73" spans="1:19" ht="15.75" x14ac:dyDescent="0.2">
      <c r="A73" s="108"/>
      <c r="B73" s="107"/>
      <c r="D73" s="74"/>
      <c r="E73" s="67"/>
    </row>
    <row r="74" spans="1:19" ht="22.5" x14ac:dyDescent="0.2">
      <c r="B74" s="287" t="s">
        <v>50</v>
      </c>
      <c r="C74" s="287"/>
      <c r="D74" s="75" t="s">
        <v>153</v>
      </c>
      <c r="E74" s="288" t="s">
        <v>54</v>
      </c>
      <c r="F74" s="288"/>
      <c r="G74" s="75" t="s">
        <v>153</v>
      </c>
    </row>
    <row r="75" spans="1:19" x14ac:dyDescent="0.2">
      <c r="B75" s="47" t="s">
        <v>179</v>
      </c>
      <c r="C75" s="78">
        <v>13171</v>
      </c>
      <c r="D75" s="160">
        <f>(C75-'2014'!C75)/'2014'!C75</f>
        <v>-7.1418499717992107E-2</v>
      </c>
      <c r="E75" s="47" t="s">
        <v>55</v>
      </c>
      <c r="F75" s="78">
        <v>924</v>
      </c>
      <c r="G75" s="160">
        <f>(F75-'2014'!F75)/'2014'!F75</f>
        <v>4.0540540540540543E-2</v>
      </c>
      <c r="K75" s="56"/>
    </row>
    <row r="76" spans="1:19" x14ac:dyDescent="0.2">
      <c r="B76" s="47" t="s">
        <v>51</v>
      </c>
      <c r="C76" s="78">
        <v>291</v>
      </c>
      <c r="D76" s="160">
        <f>(C76-'2014'!C76)/'2014'!C76</f>
        <v>0.53157894736842104</v>
      </c>
      <c r="E76" s="47" t="s">
        <v>57</v>
      </c>
      <c r="F76" s="78">
        <v>60</v>
      </c>
      <c r="G76" s="160">
        <f>(F76-'2014'!F76)/'2014'!F76</f>
        <v>-0.22077922077922077</v>
      </c>
    </row>
    <row r="77" spans="1:19" x14ac:dyDescent="0.2">
      <c r="B77" s="47" t="s">
        <v>52</v>
      </c>
      <c r="C77" s="78">
        <v>1248</v>
      </c>
      <c r="D77" s="160">
        <f>(C77-'2014'!C77)/'2014'!C77</f>
        <v>0.15877437325905291</v>
      </c>
      <c r="E77" s="47" t="s">
        <v>56</v>
      </c>
      <c r="F77" s="78">
        <v>504</v>
      </c>
      <c r="G77" s="160">
        <f>(F77-'2014'!F77)/'2014'!F77</f>
        <v>1.4084507042253521E-2</v>
      </c>
    </row>
    <row r="78" spans="1:19" x14ac:dyDescent="0.2">
      <c r="B78" s="47" t="s">
        <v>53</v>
      </c>
      <c r="C78" s="78"/>
      <c r="D78" s="160"/>
      <c r="E78" s="79" t="s">
        <v>76</v>
      </c>
      <c r="F78" s="80">
        <f>SUM(F75:F77)</f>
        <v>1488</v>
      </c>
      <c r="G78" s="160">
        <f>(F78-'2014'!F78)/'2014'!F78</f>
        <v>1.7783857729138167E-2</v>
      </c>
    </row>
    <row r="79" spans="1:19" x14ac:dyDescent="0.2">
      <c r="B79" s="79" t="s">
        <v>76</v>
      </c>
      <c r="C79" s="80">
        <f>SUM(C75:C78)</f>
        <v>14710</v>
      </c>
      <c r="D79" s="160">
        <f>(C79-'2014'!C79)/'2014'!C79</f>
        <v>-4.7958060966927708E-2</v>
      </c>
      <c r="G79" s="76"/>
    </row>
    <row r="80" spans="1:19" ht="13.5" customHeight="1" x14ac:dyDescent="0.2"/>
    <row r="81" spans="2:7" ht="13.5" customHeight="1" x14ac:dyDescent="0.2">
      <c r="B81" s="79"/>
      <c r="C81" s="80"/>
      <c r="D81" s="76"/>
    </row>
    <row r="82" spans="2:7" ht="13.5" customHeight="1" x14ac:dyDescent="0.25">
      <c r="B82" s="2" t="s">
        <v>131</v>
      </c>
      <c r="C82" s="80"/>
      <c r="D82" s="76"/>
    </row>
    <row r="83" spans="2:7" ht="13.5" customHeight="1" x14ac:dyDescent="0.25">
      <c r="B83" s="2"/>
      <c r="C83" s="80"/>
      <c r="D83" s="76"/>
    </row>
    <row r="84" spans="2:7" ht="30.75" thickBot="1" x14ac:dyDescent="0.35">
      <c r="B84" s="139" t="s">
        <v>154</v>
      </c>
      <c r="C84" s="96" t="s">
        <v>44</v>
      </c>
      <c r="D84" s="96"/>
      <c r="E84" s="96"/>
      <c r="F84" s="96"/>
      <c r="G84" s="81" t="s">
        <v>153</v>
      </c>
    </row>
    <row r="85" spans="2:7" ht="30.75" customHeight="1" thickTop="1" x14ac:dyDescent="0.2">
      <c r="B85" s="123" t="s">
        <v>44</v>
      </c>
      <c r="C85" s="277" t="s">
        <v>78</v>
      </c>
      <c r="D85" s="277"/>
      <c r="E85" s="121">
        <f>IF(D68=0,0,D68/$G$67)</f>
        <v>65.712109634057981</v>
      </c>
      <c r="F85" s="114" t="s">
        <v>70</v>
      </c>
      <c r="G85" s="160">
        <f>(E85-'2014'!E85)/'2014'!E85</f>
        <v>-8.4016868298438477E-2</v>
      </c>
    </row>
    <row r="86" spans="2:7" ht="15.75" customHeight="1" thickBot="1" x14ac:dyDescent="0.3">
      <c r="B86" s="122"/>
      <c r="C86" s="96" t="s">
        <v>46</v>
      </c>
      <c r="D86" s="96"/>
      <c r="E86" s="96"/>
      <c r="F86" s="96"/>
      <c r="G86" s="142"/>
    </row>
    <row r="87" spans="2:7" ht="26.25" customHeight="1" thickTop="1" x14ac:dyDescent="0.2">
      <c r="B87" s="124" t="s">
        <v>46</v>
      </c>
      <c r="C87" s="277" t="s">
        <v>79</v>
      </c>
      <c r="D87" s="277"/>
      <c r="E87" s="121">
        <f>IF(D67=0,0,D67/$G$67)</f>
        <v>139.58331867536393</v>
      </c>
      <c r="F87" s="114" t="s">
        <v>70</v>
      </c>
      <c r="G87" s="160">
        <f>(E87-'2014'!E87)/'2014'!E87</f>
        <v>-0.10406885359978583</v>
      </c>
    </row>
    <row r="88" spans="2:7" ht="15.75" customHeight="1" thickBot="1" x14ac:dyDescent="0.3">
      <c r="B88" s="97"/>
      <c r="C88" s="96" t="s">
        <v>47</v>
      </c>
      <c r="D88" s="96"/>
      <c r="E88" s="96"/>
      <c r="F88" s="96"/>
      <c r="G88" s="142"/>
    </row>
    <row r="89" spans="2:7" ht="30.75" customHeight="1" thickTop="1" x14ac:dyDescent="0.2">
      <c r="B89" s="125" t="s">
        <v>108</v>
      </c>
      <c r="C89" s="277" t="s">
        <v>156</v>
      </c>
      <c r="D89" s="277"/>
      <c r="E89" s="120">
        <f>IF(D68=0,0,D68/F78)</f>
        <v>8504.4435642941844</v>
      </c>
      <c r="F89" s="114" t="s">
        <v>165</v>
      </c>
      <c r="G89" s="160">
        <f>(E89-'2014'!E89)/'2014'!E89</f>
        <v>6.8025667934761794E-2</v>
      </c>
    </row>
    <row r="90" spans="2:7" ht="26.25" customHeight="1" x14ac:dyDescent="0.2">
      <c r="B90" s="126" t="s">
        <v>109</v>
      </c>
      <c r="C90" s="277" t="s">
        <v>157</v>
      </c>
      <c r="D90" s="277"/>
      <c r="E90" s="121">
        <f>IF(D68=0,0,D68/G70)</f>
        <v>781.24534039200796</v>
      </c>
      <c r="F90" s="114" t="s">
        <v>101</v>
      </c>
      <c r="G90" s="141"/>
    </row>
    <row r="91" spans="2:7" ht="15.75" thickBot="1" x14ac:dyDescent="0.3">
      <c r="B91" s="97"/>
      <c r="C91" s="96" t="s">
        <v>90</v>
      </c>
      <c r="D91" s="96"/>
      <c r="E91" s="96"/>
      <c r="F91" s="96"/>
      <c r="G91" s="142"/>
    </row>
    <row r="92" spans="2:7" ht="30.75" customHeight="1" thickTop="1" x14ac:dyDescent="0.2">
      <c r="B92" s="127" t="s">
        <v>90</v>
      </c>
      <c r="C92" s="289" t="s">
        <v>72</v>
      </c>
      <c r="D92" s="289"/>
      <c r="E92" s="116">
        <f>IF(D69=0,0,D69/$G$67)</f>
        <v>2.2482003494567668E-2</v>
      </c>
      <c r="F92" s="117" t="s">
        <v>87</v>
      </c>
      <c r="G92" s="160">
        <f>(E92-'2014'!E92)/'2014'!E92</f>
        <v>-0.11200334542430035</v>
      </c>
    </row>
    <row r="93" spans="2:7" ht="25.5" customHeight="1" thickBot="1" x14ac:dyDescent="0.3">
      <c r="B93" s="122"/>
      <c r="C93" s="96" t="s">
        <v>91</v>
      </c>
      <c r="D93" s="96"/>
      <c r="E93" s="96"/>
      <c r="F93" s="96"/>
      <c r="G93" s="142"/>
    </row>
    <row r="94" spans="2:7" ht="15.75" customHeight="1" thickTop="1" x14ac:dyDescent="0.2">
      <c r="B94" s="127" t="s">
        <v>91</v>
      </c>
      <c r="C94" s="289" t="s">
        <v>73</v>
      </c>
      <c r="D94" s="289"/>
      <c r="E94" s="116">
        <f>IF(D70=0,0,D70/$G$67)</f>
        <v>2.405063212606522E-2</v>
      </c>
      <c r="F94" s="117" t="s">
        <v>71</v>
      </c>
      <c r="G94" s="160">
        <f>(E94-'2014'!E94)/'2014'!E94</f>
        <v>-8.4016868298438394E-2</v>
      </c>
    </row>
    <row r="95" spans="2:7" ht="13.5" customHeight="1" thickBot="1" x14ac:dyDescent="0.3">
      <c r="B95" s="122"/>
      <c r="C95" s="96" t="s">
        <v>92</v>
      </c>
      <c r="D95" s="96"/>
      <c r="E95" s="96"/>
      <c r="F95" s="96"/>
      <c r="G95" s="142"/>
    </row>
    <row r="96" spans="2:7" ht="29.25" customHeight="1" thickTop="1" x14ac:dyDescent="0.2">
      <c r="B96" s="127" t="s">
        <v>92</v>
      </c>
      <c r="C96" s="289" t="s">
        <v>74</v>
      </c>
      <c r="D96" s="289"/>
      <c r="E96" s="116">
        <f>IF(D71=0,0,D71/$G$67)</f>
        <v>1.7150860614489134E-2</v>
      </c>
      <c r="F96" s="117" t="s">
        <v>71</v>
      </c>
      <c r="G96" s="160">
        <f>(E96-'2014'!E96)/'2014'!E96</f>
        <v>-8.4016868298438602E-2</v>
      </c>
    </row>
    <row r="97" spans="2:8" ht="15.75" thickBot="1" x14ac:dyDescent="0.3">
      <c r="B97" s="122"/>
      <c r="C97" s="96" t="s">
        <v>93</v>
      </c>
      <c r="D97" s="96"/>
      <c r="E97" s="96"/>
      <c r="F97" s="96"/>
      <c r="G97" s="142"/>
    </row>
    <row r="98" spans="2:8" ht="13.5" customHeight="1" thickTop="1" x14ac:dyDescent="0.2">
      <c r="B98" s="128" t="s">
        <v>110</v>
      </c>
      <c r="C98" s="289" t="s">
        <v>158</v>
      </c>
      <c r="D98" s="289"/>
      <c r="E98" s="116">
        <f>IF(D69=0,0,D69/$F$78)</f>
        <v>2.9096148487176214</v>
      </c>
      <c r="F98" s="117" t="s">
        <v>166</v>
      </c>
      <c r="G98" s="160">
        <f>(E98-'2014'!E98)/'2014'!E98</f>
        <v>3.539376141704631E-2</v>
      </c>
      <c r="H98" s="99"/>
    </row>
    <row r="99" spans="2:8" ht="28.5" customHeight="1" x14ac:dyDescent="0.2">
      <c r="B99" s="129" t="s">
        <v>111</v>
      </c>
      <c r="C99" s="289" t="s">
        <v>159</v>
      </c>
      <c r="D99" s="289"/>
      <c r="E99" s="116">
        <f>D69/$G$70</f>
        <v>0.26728651036497225</v>
      </c>
      <c r="F99" s="117" t="s">
        <v>86</v>
      </c>
      <c r="G99" s="141"/>
      <c r="H99" s="95"/>
    </row>
    <row r="100" spans="2:8" ht="15.75" thickBot="1" x14ac:dyDescent="0.3">
      <c r="B100" s="122"/>
      <c r="C100" s="96" t="s">
        <v>94</v>
      </c>
      <c r="D100" s="96"/>
      <c r="E100" s="96"/>
      <c r="F100" s="96"/>
      <c r="G100" s="142"/>
    </row>
    <row r="101" spans="2:8" ht="13.5" customHeight="1" thickTop="1" x14ac:dyDescent="0.2">
      <c r="B101" s="128" t="s">
        <v>112</v>
      </c>
      <c r="C101" s="289" t="s">
        <v>160</v>
      </c>
      <c r="D101" s="289"/>
      <c r="E101" s="116">
        <f>IF(D70=0,0,D70/$F$78)</f>
        <v>3.1126263445316713</v>
      </c>
      <c r="F101" s="117" t="s">
        <v>167</v>
      </c>
      <c r="G101" s="160">
        <f>(E101-'2014'!E101)/'2014'!E101</f>
        <v>6.8025667934761835E-2</v>
      </c>
    </row>
    <row r="102" spans="2:8" ht="26.25" customHeight="1" x14ac:dyDescent="0.2">
      <c r="B102" s="129" t="s">
        <v>113</v>
      </c>
      <c r="C102" s="289" t="s">
        <v>164</v>
      </c>
      <c r="D102" s="289"/>
      <c r="E102" s="116">
        <f>D70/$G$70</f>
        <v>0.2859357945834749</v>
      </c>
      <c r="F102" s="117" t="s">
        <v>77</v>
      </c>
      <c r="G102" s="141"/>
    </row>
    <row r="103" spans="2:8" ht="13.5" customHeight="1" thickBot="1" x14ac:dyDescent="0.3">
      <c r="B103" s="122"/>
      <c r="C103" s="96" t="s">
        <v>95</v>
      </c>
      <c r="D103" s="96"/>
      <c r="E103" s="96"/>
      <c r="F103" s="96"/>
      <c r="G103" s="142"/>
    </row>
    <row r="104" spans="2:8" ht="33.75" customHeight="1" thickTop="1" x14ac:dyDescent="0.2">
      <c r="B104" s="128" t="s">
        <v>114</v>
      </c>
      <c r="C104" s="289" t="s">
        <v>161</v>
      </c>
      <c r="D104" s="289"/>
      <c r="E104" s="116">
        <f>IF(D71=0,0,D71/$F$78)</f>
        <v>2.2196597702807819</v>
      </c>
      <c r="F104" s="117" t="s">
        <v>167</v>
      </c>
      <c r="G104" s="160">
        <f>(E104-'2014'!E104)/'2014'!E104</f>
        <v>6.8025667934761683E-2</v>
      </c>
    </row>
    <row r="105" spans="2:8" ht="29.25" customHeight="1" x14ac:dyDescent="0.2">
      <c r="B105" s="129" t="s">
        <v>115</v>
      </c>
      <c r="C105" s="289" t="s">
        <v>162</v>
      </c>
      <c r="D105" s="289"/>
      <c r="E105" s="116">
        <f>D71/G70</f>
        <v>0.20390503384231409</v>
      </c>
      <c r="F105" s="117" t="s">
        <v>77</v>
      </c>
      <c r="G105" s="143"/>
    </row>
    <row r="106" spans="2:8" ht="15.75" thickBot="1" x14ac:dyDescent="0.3">
      <c r="B106" s="122"/>
      <c r="C106" s="96" t="s">
        <v>96</v>
      </c>
      <c r="D106" s="96"/>
      <c r="E106" s="96"/>
      <c r="F106" s="96"/>
      <c r="G106" s="142"/>
    </row>
    <row r="107" spans="2:8" ht="30" customHeight="1" thickTop="1" x14ac:dyDescent="0.2">
      <c r="B107" s="124" t="s">
        <v>96</v>
      </c>
      <c r="C107" s="277" t="s">
        <v>99</v>
      </c>
      <c r="D107" s="277"/>
      <c r="E107" s="113">
        <f>IF(C34=0,0,C34/G67)*1000</f>
        <v>414.64547917981287</v>
      </c>
      <c r="F107" s="114" t="s">
        <v>100</v>
      </c>
      <c r="G107" s="160">
        <f>(E107-'2014'!E107)/'2014'!E107</f>
        <v>-8.685507261160974E-2</v>
      </c>
    </row>
    <row r="108" spans="2:8" ht="15.75" thickBot="1" x14ac:dyDescent="0.3">
      <c r="B108" s="122"/>
      <c r="C108" s="96" t="s">
        <v>97</v>
      </c>
      <c r="D108" s="96"/>
      <c r="E108" s="96"/>
      <c r="F108" s="96"/>
      <c r="G108" s="142"/>
    </row>
    <row r="109" spans="2:8" ht="15.75" thickTop="1" x14ac:dyDescent="0.2">
      <c r="B109" s="125" t="s">
        <v>142</v>
      </c>
      <c r="C109" s="277" t="s">
        <v>155</v>
      </c>
      <c r="D109" s="277"/>
      <c r="E109" s="113">
        <f>C34/F78</f>
        <v>53.663306451612904</v>
      </c>
      <c r="F109" s="114" t="s">
        <v>170</v>
      </c>
      <c r="G109" s="160">
        <f>(E109-'2014'!E109)/'2014'!E109</f>
        <v>6.4716354747215404E-2</v>
      </c>
    </row>
    <row r="110" spans="2:8" ht="33" customHeight="1" x14ac:dyDescent="0.2">
      <c r="B110" s="126" t="s">
        <v>143</v>
      </c>
      <c r="C110" s="277" t="s">
        <v>163</v>
      </c>
      <c r="D110" s="277"/>
      <c r="E110" s="113">
        <f>C34/G70</f>
        <v>4.9296826768736883</v>
      </c>
      <c r="F110" s="114" t="s">
        <v>183</v>
      </c>
      <c r="G110" s="144"/>
    </row>
    <row r="111" spans="2:8" ht="18" customHeight="1" thickBot="1" x14ac:dyDescent="0.3">
      <c r="B111" s="122"/>
      <c r="C111" s="96" t="s">
        <v>98</v>
      </c>
      <c r="D111" s="96"/>
      <c r="E111" s="96"/>
      <c r="F111" s="96"/>
      <c r="G111" s="142"/>
    </row>
    <row r="112" spans="2:8" ht="22.5" customHeight="1" thickTop="1" x14ac:dyDescent="0.2">
      <c r="B112" s="130" t="s">
        <v>98</v>
      </c>
      <c r="C112" s="291" t="s">
        <v>132</v>
      </c>
      <c r="D112" s="291"/>
      <c r="E112" s="151">
        <f>J36/G67</f>
        <v>8.5819424726472935</v>
      </c>
      <c r="F112" s="119" t="s">
        <v>171</v>
      </c>
      <c r="G112" s="160">
        <f>(E112-'2014'!E112)/'2014'!E112</f>
        <v>-6.2569544866027324E-2</v>
      </c>
    </row>
    <row r="113" spans="2:7" ht="15.75" thickBot="1" x14ac:dyDescent="0.3">
      <c r="B113" s="122"/>
      <c r="C113" s="96" t="s">
        <v>102</v>
      </c>
      <c r="D113" s="96"/>
      <c r="E113" s="96"/>
      <c r="F113" s="96"/>
      <c r="G113" s="142"/>
    </row>
    <row r="114" spans="2:7" ht="19.5" customHeight="1" thickTop="1" x14ac:dyDescent="0.2">
      <c r="B114" s="130" t="s">
        <v>102</v>
      </c>
      <c r="C114" s="291" t="s">
        <v>172</v>
      </c>
      <c r="D114" s="291"/>
      <c r="E114" s="151">
        <f>J37/G67</f>
        <v>1.0263737221546974</v>
      </c>
      <c r="F114" s="119" t="s">
        <v>83</v>
      </c>
      <c r="G114" s="160">
        <f>(E114-'2014'!E114)/'2014'!E114</f>
        <v>-2.6735791103321846E-2</v>
      </c>
    </row>
    <row r="115" spans="2:7" ht="12.75" customHeight="1" thickBot="1" x14ac:dyDescent="0.3">
      <c r="B115" s="122"/>
      <c r="C115" s="96" t="s">
        <v>103</v>
      </c>
      <c r="D115" s="96"/>
      <c r="E115" s="96"/>
      <c r="F115" s="96"/>
      <c r="G115" s="142"/>
    </row>
    <row r="116" spans="2:7" ht="30" customHeight="1" thickTop="1" x14ac:dyDescent="0.2">
      <c r="B116" s="131" t="s">
        <v>177</v>
      </c>
      <c r="C116" s="291" t="s">
        <v>173</v>
      </c>
      <c r="D116" s="291"/>
      <c r="E116" s="151">
        <f>J36/F78</f>
        <v>1110.6726878362299</v>
      </c>
      <c r="F116" s="119" t="s">
        <v>168</v>
      </c>
      <c r="G116" s="160">
        <f>(E116-'2014'!E116)/'2014'!E116</f>
        <v>9.3032997372982151E-2</v>
      </c>
    </row>
    <row r="117" spans="2:7" ht="27" customHeight="1" x14ac:dyDescent="0.2">
      <c r="B117" s="132" t="s">
        <v>178</v>
      </c>
      <c r="C117" s="291" t="s">
        <v>174</v>
      </c>
      <c r="D117" s="291"/>
      <c r="E117" s="151">
        <f>J36/G70</f>
        <v>102.02993946785467</v>
      </c>
      <c r="F117" s="119" t="s">
        <v>84</v>
      </c>
      <c r="G117" s="160">
        <f>(E117-'2014'!E117)/'2014'!E117</f>
        <v>0.16157721849090137</v>
      </c>
    </row>
    <row r="118" spans="2:7" ht="15.75" thickBot="1" x14ac:dyDescent="0.3">
      <c r="B118" s="122"/>
      <c r="C118" s="96" t="s">
        <v>104</v>
      </c>
      <c r="D118" s="96"/>
      <c r="E118" s="96"/>
      <c r="F118" s="96"/>
      <c r="G118" s="160"/>
    </row>
    <row r="119" spans="2:7" ht="13.5" customHeight="1" thickTop="1" x14ac:dyDescent="0.2">
      <c r="B119" s="131" t="s">
        <v>144</v>
      </c>
      <c r="C119" s="291" t="s">
        <v>175</v>
      </c>
      <c r="D119" s="291"/>
      <c r="E119" s="151">
        <f>J37/F78</f>
        <v>132.83301121434639</v>
      </c>
      <c r="F119" s="119" t="s">
        <v>168</v>
      </c>
      <c r="G119" s="160">
        <f>(E119-'2014'!E119)/'2014'!E119</f>
        <v>0.13481473709337313</v>
      </c>
    </row>
    <row r="120" spans="2:7" ht="27" customHeight="1" x14ac:dyDescent="0.2">
      <c r="B120" s="132" t="s">
        <v>145</v>
      </c>
      <c r="C120" s="291" t="s">
        <v>176</v>
      </c>
      <c r="D120" s="291"/>
      <c r="E120" s="151">
        <f>J37/G70</f>
        <v>12.202464544199742</v>
      </c>
      <c r="F120" s="119" t="s">
        <v>84</v>
      </c>
      <c r="G120" s="160">
        <f>(E120-'2014'!E120)/'2014'!E120</f>
        <v>0.20597909576703763</v>
      </c>
    </row>
    <row r="121" spans="2:7" ht="15.75" thickBot="1" x14ac:dyDescent="0.3">
      <c r="B121" s="122"/>
      <c r="C121" s="96" t="s">
        <v>140</v>
      </c>
      <c r="D121" s="96"/>
      <c r="E121" s="96"/>
      <c r="F121" s="96"/>
      <c r="G121" s="142"/>
    </row>
    <row r="122" spans="2:7" ht="37.5" customHeight="1" thickTop="1" x14ac:dyDescent="0.2">
      <c r="B122" s="130" t="s">
        <v>140</v>
      </c>
      <c r="C122" s="290" t="s">
        <v>141</v>
      </c>
      <c r="D122" s="290"/>
      <c r="E122" s="133">
        <f>D72/C15</f>
        <v>1.1955689326430461E-2</v>
      </c>
      <c r="F122" s="134"/>
      <c r="G122" s="160">
        <f>(E122-'2014'!E122)/'2014'!E122</f>
        <v>-3.4025695727234781E-2</v>
      </c>
    </row>
    <row r="123" spans="2:7" x14ac:dyDescent="0.2">
      <c r="E123" s="58"/>
    </row>
    <row r="124" spans="2:7" x14ac:dyDescent="0.2">
      <c r="E124" s="58"/>
    </row>
    <row r="125" spans="2:7" x14ac:dyDescent="0.2">
      <c r="E125" s="58"/>
    </row>
    <row r="126" spans="2:7" x14ac:dyDescent="0.2">
      <c r="E126" s="58"/>
    </row>
  </sheetData>
  <mergeCells count="43">
    <mergeCell ref="C122:D122"/>
    <mergeCell ref="C112:D112"/>
    <mergeCell ref="C114:D114"/>
    <mergeCell ref="C116:D116"/>
    <mergeCell ref="C117:D117"/>
    <mergeCell ref="C119:D119"/>
    <mergeCell ref="C120:D120"/>
    <mergeCell ref="C110:D110"/>
    <mergeCell ref="C92:D92"/>
    <mergeCell ref="C94:D94"/>
    <mergeCell ref="C96:D96"/>
    <mergeCell ref="C98:D98"/>
    <mergeCell ref="C99:D99"/>
    <mergeCell ref="C101:D101"/>
    <mergeCell ref="C102:D102"/>
    <mergeCell ref="C104:D104"/>
    <mergeCell ref="C105:D105"/>
    <mergeCell ref="C107:D107"/>
    <mergeCell ref="C109:D109"/>
    <mergeCell ref="C90:D90"/>
    <mergeCell ref="E60:F60"/>
    <mergeCell ref="B61:B63"/>
    <mergeCell ref="C61:C63"/>
    <mergeCell ref="D61:D63"/>
    <mergeCell ref="B74:C74"/>
    <mergeCell ref="E74:F74"/>
    <mergeCell ref="C85:D85"/>
    <mergeCell ref="C87:D87"/>
    <mergeCell ref="C89:D89"/>
    <mergeCell ref="P67:R67"/>
    <mergeCell ref="B72:C72"/>
    <mergeCell ref="C29:F29"/>
    <mergeCell ref="E31:F31"/>
    <mergeCell ref="E43:F43"/>
    <mergeCell ref="C46:D46"/>
    <mergeCell ref="E48:F48"/>
    <mergeCell ref="H48:I48"/>
    <mergeCell ref="H20:I20"/>
    <mergeCell ref="A9:C9"/>
    <mergeCell ref="C12:F12"/>
    <mergeCell ref="E14:F14"/>
    <mergeCell ref="C18:F18"/>
    <mergeCell ref="E20:F20"/>
  </mergeCells>
  <conditionalFormatting sqref="D75:D79">
    <cfRule type="cellIs" dxfId="103" priority="22" operator="lessThan">
      <formula>0</formula>
    </cfRule>
  </conditionalFormatting>
  <conditionalFormatting sqref="G75:G78">
    <cfRule type="cellIs" dxfId="102" priority="21" operator="lessThan">
      <formula>0</formula>
    </cfRule>
  </conditionalFormatting>
  <conditionalFormatting sqref="G85">
    <cfRule type="cellIs" dxfId="101" priority="20" operator="lessThan">
      <formula>0</formula>
    </cfRule>
  </conditionalFormatting>
  <conditionalFormatting sqref="G87">
    <cfRule type="cellIs" dxfId="100" priority="19" operator="lessThan">
      <formula>0</formula>
    </cfRule>
  </conditionalFormatting>
  <conditionalFormatting sqref="G89">
    <cfRule type="cellIs" dxfId="99" priority="18" operator="lessThan">
      <formula>0</formula>
    </cfRule>
  </conditionalFormatting>
  <conditionalFormatting sqref="G92">
    <cfRule type="cellIs" dxfId="98" priority="17" operator="lessThan">
      <formula>0</formula>
    </cfRule>
  </conditionalFormatting>
  <conditionalFormatting sqref="G94">
    <cfRule type="cellIs" dxfId="97" priority="16" operator="lessThan">
      <formula>0</formula>
    </cfRule>
  </conditionalFormatting>
  <conditionalFormatting sqref="G96">
    <cfRule type="cellIs" dxfId="96" priority="15" operator="lessThan">
      <formula>0</formula>
    </cfRule>
  </conditionalFormatting>
  <conditionalFormatting sqref="G98">
    <cfRule type="cellIs" dxfId="95" priority="14" operator="lessThan">
      <formula>0</formula>
    </cfRule>
  </conditionalFormatting>
  <conditionalFormatting sqref="G101">
    <cfRule type="cellIs" dxfId="94" priority="13" operator="lessThan">
      <formula>0</formula>
    </cfRule>
  </conditionalFormatting>
  <conditionalFormatting sqref="G104">
    <cfRule type="cellIs" dxfId="93" priority="12" operator="lessThan">
      <formula>0</formula>
    </cfRule>
  </conditionalFormatting>
  <conditionalFormatting sqref="G107">
    <cfRule type="cellIs" dxfId="92" priority="11" operator="lessThan">
      <formula>0</formula>
    </cfRule>
  </conditionalFormatting>
  <conditionalFormatting sqref="G109">
    <cfRule type="cellIs" dxfId="91" priority="10" operator="lessThan">
      <formula>0</formula>
    </cfRule>
  </conditionalFormatting>
  <conditionalFormatting sqref="G112">
    <cfRule type="cellIs" dxfId="90" priority="9" operator="lessThan">
      <formula>0</formula>
    </cfRule>
  </conditionalFormatting>
  <conditionalFormatting sqref="G114">
    <cfRule type="cellIs" dxfId="89" priority="8" operator="lessThan">
      <formula>0</formula>
    </cfRule>
  </conditionalFormatting>
  <conditionalFormatting sqref="G116">
    <cfRule type="cellIs" dxfId="88" priority="7" operator="lessThan">
      <formula>0</formula>
    </cfRule>
  </conditionalFormatting>
  <conditionalFormatting sqref="G120">
    <cfRule type="cellIs" dxfId="87" priority="2" operator="lessThan">
      <formula>0</formula>
    </cfRule>
  </conditionalFormatting>
  <conditionalFormatting sqref="G118">
    <cfRule type="cellIs" dxfId="86" priority="5" operator="lessThan">
      <formula>0</formula>
    </cfRule>
  </conditionalFormatting>
  <conditionalFormatting sqref="G117">
    <cfRule type="cellIs" dxfId="85" priority="4" operator="lessThan">
      <formula>0</formula>
    </cfRule>
  </conditionalFormatting>
  <conditionalFormatting sqref="G119">
    <cfRule type="cellIs" dxfId="84" priority="3" operator="lessThan">
      <formula>0</formula>
    </cfRule>
  </conditionalFormatting>
  <conditionalFormatting sqref="G122">
    <cfRule type="cellIs" dxfId="83" priority="1" operator="lessThan">
      <formula>0</formula>
    </cfRule>
  </conditionalFormatting>
  <hyperlinks>
    <hyperlink ref="B3" r:id="rId1"/>
  </hyperlinks>
  <pageMargins left="0.70866141732283472" right="0.21" top="0.41" bottom="0.74803149606299213" header="0.31496062992125984" footer="0.31496062992125984"/>
  <pageSetup paperSize="9" scale="78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opLeftCell="A58" zoomScaleNormal="100" zoomScaleSheetLayoutView="100" workbookViewId="0">
      <selection activeCell="I78" sqref="I78"/>
    </sheetView>
  </sheetViews>
  <sheetFormatPr baseColWidth="10" defaultRowHeight="12.75" x14ac:dyDescent="0.2"/>
  <cols>
    <col min="1" max="1" width="11.42578125" style="1"/>
    <col min="2" max="2" width="15" style="1" customWidth="1"/>
    <col min="3" max="3" width="22.5703125" style="1" customWidth="1"/>
    <col min="4" max="4" width="19" style="1" customWidth="1"/>
    <col min="5" max="5" width="10.42578125" style="1" bestFit="1" customWidth="1"/>
    <col min="6" max="6" width="16.85546875" style="1" customWidth="1"/>
    <col min="7" max="7" width="20.7109375" style="1" customWidth="1"/>
    <col min="8" max="8" width="7" style="1" bestFit="1" customWidth="1"/>
    <col min="9" max="9" width="18.85546875" style="1" customWidth="1"/>
    <col min="10" max="10" width="18.85546875" style="1" bestFit="1" customWidth="1"/>
    <col min="11" max="11" width="9" style="1" bestFit="1" customWidth="1"/>
    <col min="12" max="12" width="23.140625" style="1" bestFit="1" customWidth="1"/>
    <col min="13" max="13" width="13.85546875" style="1" bestFit="1" customWidth="1"/>
    <col min="14" max="14" width="8" style="1" bestFit="1" customWidth="1"/>
    <col min="15" max="15" width="7.28515625" style="1" bestFit="1" customWidth="1"/>
    <col min="16" max="16" width="11.5703125" style="1" bestFit="1" customWidth="1"/>
    <col min="17" max="16384" width="11.42578125" style="1"/>
  </cols>
  <sheetData>
    <row r="1" spans="1:7" ht="30" x14ac:dyDescent="0.4">
      <c r="A1" s="102" t="s">
        <v>68</v>
      </c>
    </row>
    <row r="2" spans="1:7" ht="15.75" x14ac:dyDescent="0.25">
      <c r="A2" s="104" t="s">
        <v>63</v>
      </c>
      <c r="B2" s="103" t="s">
        <v>64</v>
      </c>
      <c r="C2" s="103"/>
      <c r="D2" s="103"/>
      <c r="E2" s="103"/>
      <c r="F2" s="103"/>
    </row>
    <row r="3" spans="1:7" ht="15.75" x14ac:dyDescent="0.25">
      <c r="A3" s="103"/>
      <c r="B3" s="105" t="s">
        <v>65</v>
      </c>
      <c r="C3" s="103"/>
      <c r="D3" s="103"/>
      <c r="E3" s="103"/>
      <c r="F3" s="103"/>
    </row>
    <row r="4" spans="1:7" ht="15.75" x14ac:dyDescent="0.25">
      <c r="A4" s="103"/>
      <c r="B4" s="103"/>
      <c r="C4" s="103"/>
      <c r="D4" s="103"/>
      <c r="E4" s="103"/>
      <c r="F4" s="103"/>
    </row>
    <row r="5" spans="1:7" ht="15.75" x14ac:dyDescent="0.25">
      <c r="A5" s="103"/>
      <c r="B5" s="103" t="s">
        <v>69</v>
      </c>
      <c r="C5" s="103"/>
      <c r="D5" s="103"/>
      <c r="E5" s="103"/>
      <c r="F5" s="103"/>
    </row>
    <row r="6" spans="1:7" ht="15.75" x14ac:dyDescent="0.25">
      <c r="A6" s="103"/>
      <c r="B6" s="103" t="s">
        <v>66</v>
      </c>
      <c r="C6" s="103"/>
      <c r="D6" s="103"/>
      <c r="E6" s="103"/>
      <c r="F6" s="103"/>
    </row>
    <row r="7" spans="1:7" ht="15.75" x14ac:dyDescent="0.25">
      <c r="A7" s="103"/>
      <c r="B7" s="103" t="s">
        <v>67</v>
      </c>
      <c r="C7" s="103"/>
      <c r="D7" s="103"/>
      <c r="E7" s="103"/>
      <c r="F7" s="103"/>
    </row>
    <row r="8" spans="1:7" ht="14.25" x14ac:dyDescent="0.2">
      <c r="B8" s="38"/>
      <c r="C8" s="38"/>
      <c r="D8" s="38"/>
      <c r="E8" s="38"/>
      <c r="F8" s="38"/>
    </row>
    <row r="9" spans="1:7" ht="17.25" x14ac:dyDescent="0.3">
      <c r="A9" s="292" t="s">
        <v>185</v>
      </c>
      <c r="B9" s="292"/>
      <c r="C9" s="292"/>
    </row>
    <row r="11" spans="1:7" ht="23.25" x14ac:dyDescent="0.35">
      <c r="A11" s="101" t="s">
        <v>25</v>
      </c>
    </row>
    <row r="12" spans="1:7" ht="15.75" x14ac:dyDescent="0.25">
      <c r="C12" s="269" t="s">
        <v>0</v>
      </c>
      <c r="D12" s="269"/>
      <c r="E12" s="269"/>
      <c r="F12" s="269"/>
    </row>
    <row r="13" spans="1:7" ht="13.5" thickBot="1" x14ac:dyDescent="0.25"/>
    <row r="14" spans="1:7" s="65" customFormat="1" ht="27" customHeight="1" thickBot="1" x14ac:dyDescent="0.3">
      <c r="C14" s="43" t="s">
        <v>20</v>
      </c>
      <c r="D14" s="42" t="s">
        <v>5</v>
      </c>
      <c r="E14" s="270" t="s">
        <v>1</v>
      </c>
      <c r="F14" s="270"/>
      <c r="G14" s="66" t="s">
        <v>85</v>
      </c>
    </row>
    <row r="15" spans="1:7" ht="16.5" thickBot="1" x14ac:dyDescent="0.3">
      <c r="B15" s="3" t="s">
        <v>48</v>
      </c>
      <c r="C15" s="149">
        <v>9418575</v>
      </c>
      <c r="D15" s="4" t="s">
        <v>21</v>
      </c>
      <c r="E15" s="5">
        <v>0.38500000000000001</v>
      </c>
      <c r="F15" s="6" t="s">
        <v>2</v>
      </c>
      <c r="G15" s="49">
        <f>C15*E15/1000</f>
        <v>3626.1513749999999</v>
      </c>
    </row>
    <row r="16" spans="1:7" ht="16.5" thickBot="1" x14ac:dyDescent="0.3">
      <c r="B16" s="3" t="s">
        <v>49</v>
      </c>
      <c r="C16" s="48"/>
      <c r="D16" s="4" t="s">
        <v>21</v>
      </c>
      <c r="E16" s="5">
        <v>0.38500000000000001</v>
      </c>
      <c r="F16" s="6" t="s">
        <v>2</v>
      </c>
      <c r="G16" s="49">
        <f>C16*E16</f>
        <v>0</v>
      </c>
    </row>
    <row r="17" spans="2:11" x14ac:dyDescent="0.2">
      <c r="G17" s="55">
        <f>SUM(G15:G16)</f>
        <v>3626.1513749999999</v>
      </c>
    </row>
    <row r="18" spans="2:11" ht="15.75" x14ac:dyDescent="0.25">
      <c r="C18" s="269" t="s">
        <v>3</v>
      </c>
      <c r="D18" s="269"/>
      <c r="E18" s="269"/>
      <c r="F18" s="269"/>
      <c r="G18" s="55"/>
    </row>
    <row r="19" spans="2:11" ht="13.5" thickBot="1" x14ac:dyDescent="0.25"/>
    <row r="20" spans="2:11" s="46" customFormat="1" ht="30.75" customHeight="1" thickBot="1" x14ac:dyDescent="0.3">
      <c r="B20" s="59" t="s">
        <v>4</v>
      </c>
      <c r="C20" s="60" t="s">
        <v>20</v>
      </c>
      <c r="D20" s="62" t="s">
        <v>5</v>
      </c>
      <c r="E20" s="266" t="s">
        <v>7</v>
      </c>
      <c r="F20" s="271"/>
      <c r="G20" s="64" t="s">
        <v>21</v>
      </c>
      <c r="H20" s="266" t="s">
        <v>1</v>
      </c>
      <c r="I20" s="267"/>
      <c r="J20" s="66" t="s">
        <v>85</v>
      </c>
    </row>
    <row r="21" spans="2:11" ht="15.75" x14ac:dyDescent="0.25">
      <c r="B21" s="11" t="s">
        <v>8</v>
      </c>
      <c r="C21" s="86">
        <v>155546</v>
      </c>
      <c r="D21" s="13" t="s">
        <v>24</v>
      </c>
      <c r="E21" s="14">
        <v>10.7056</v>
      </c>
      <c r="F21" s="15" t="s">
        <v>27</v>
      </c>
      <c r="G21" s="87">
        <f>C21*E21</f>
        <v>1665213.2576000001</v>
      </c>
      <c r="H21" s="14">
        <v>0.2016</v>
      </c>
      <c r="I21" s="14" t="s">
        <v>2</v>
      </c>
      <c r="J21" s="88">
        <f>G21*H21/1000</f>
        <v>335.70699273216002</v>
      </c>
    </row>
    <row r="22" spans="2:11" ht="26.25" x14ac:dyDescent="0.25">
      <c r="B22" s="16" t="s">
        <v>26</v>
      </c>
      <c r="C22" s="86">
        <f>12006+1300+12007+4270+4000+4005+12033+3000</f>
        <v>52621</v>
      </c>
      <c r="D22" s="18" t="s">
        <v>9</v>
      </c>
      <c r="E22" s="19">
        <v>10.6</v>
      </c>
      <c r="F22" s="20" t="s">
        <v>10</v>
      </c>
      <c r="G22" s="87">
        <f t="shared" ref="G22:G26" si="0">C22*E22</f>
        <v>557782.6</v>
      </c>
      <c r="H22" s="19">
        <v>0.26279999999999998</v>
      </c>
      <c r="I22" s="19" t="s">
        <v>2</v>
      </c>
      <c r="J22" s="88">
        <f t="shared" ref="J22:J26" si="1">G22*H22/1000</f>
        <v>146.58526727999998</v>
      </c>
    </row>
    <row r="23" spans="2:11" ht="39" x14ac:dyDescent="0.25">
      <c r="B23" s="16" t="s">
        <v>30</v>
      </c>
      <c r="C23" s="86"/>
      <c r="D23" s="18" t="s">
        <v>11</v>
      </c>
      <c r="E23" s="19">
        <v>11.161099999999999</v>
      </c>
      <c r="F23" s="20" t="s">
        <v>12</v>
      </c>
      <c r="G23" s="87">
        <f t="shared" si="0"/>
        <v>0</v>
      </c>
      <c r="H23" s="19">
        <v>0</v>
      </c>
      <c r="I23" s="19" t="s">
        <v>2</v>
      </c>
      <c r="J23" s="88">
        <f t="shared" si="1"/>
        <v>0</v>
      </c>
    </row>
    <row r="24" spans="2:11" ht="15.75" x14ac:dyDescent="0.25">
      <c r="B24" s="16" t="s">
        <v>31</v>
      </c>
      <c r="C24" s="86"/>
      <c r="D24" s="18" t="s">
        <v>11</v>
      </c>
      <c r="E24" s="19">
        <v>12.6389</v>
      </c>
      <c r="F24" s="20" t="s">
        <v>12</v>
      </c>
      <c r="G24" s="87">
        <f t="shared" si="0"/>
        <v>0</v>
      </c>
      <c r="H24" s="19">
        <v>0.23400000000000001</v>
      </c>
      <c r="I24" s="19" t="s">
        <v>2</v>
      </c>
      <c r="J24" s="88">
        <f t="shared" si="1"/>
        <v>0</v>
      </c>
    </row>
    <row r="25" spans="2:11" ht="15.75" x14ac:dyDescent="0.25">
      <c r="B25" s="16" t="s">
        <v>28</v>
      </c>
      <c r="C25" s="86"/>
      <c r="D25" s="18" t="s">
        <v>11</v>
      </c>
      <c r="E25" s="19">
        <v>5.6971999999999996</v>
      </c>
      <c r="F25" s="20" t="s">
        <v>12</v>
      </c>
      <c r="G25" s="87">
        <f t="shared" si="0"/>
        <v>0</v>
      </c>
      <c r="H25" s="19">
        <v>0.4032</v>
      </c>
      <c r="I25" s="19" t="s">
        <v>2</v>
      </c>
      <c r="J25" s="88">
        <f t="shared" si="1"/>
        <v>0</v>
      </c>
    </row>
    <row r="26" spans="2:11" ht="26.25" x14ac:dyDescent="0.25">
      <c r="B26" s="16" t="s">
        <v>29</v>
      </c>
      <c r="C26" s="86"/>
      <c r="D26" s="18" t="s">
        <v>11</v>
      </c>
      <c r="E26" s="19">
        <v>7.0917000000000003</v>
      </c>
      <c r="F26" s="20" t="s">
        <v>12</v>
      </c>
      <c r="G26" s="87">
        <f t="shared" si="0"/>
        <v>0</v>
      </c>
      <c r="H26" s="19">
        <v>0</v>
      </c>
      <c r="I26" s="19" t="s">
        <v>2</v>
      </c>
      <c r="J26" s="88">
        <f t="shared" si="1"/>
        <v>0</v>
      </c>
    </row>
    <row r="27" spans="2:11" ht="16.5" thickBot="1" x14ac:dyDescent="0.3">
      <c r="B27" s="21"/>
      <c r="C27" s="86"/>
      <c r="D27" s="23"/>
      <c r="E27" s="24"/>
      <c r="F27" s="25"/>
      <c r="G27" s="93"/>
      <c r="H27" s="24"/>
      <c r="I27" s="24"/>
      <c r="J27" s="89">
        <f>SUM(J21:J26)</f>
        <v>482.29226001216</v>
      </c>
    </row>
    <row r="28" spans="2:11" x14ac:dyDescent="0.2"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5.75" customHeight="1" x14ac:dyDescent="0.25">
      <c r="C29" s="269" t="s">
        <v>13</v>
      </c>
      <c r="D29" s="269"/>
      <c r="E29" s="269"/>
      <c r="F29" s="269"/>
      <c r="G29" s="26"/>
      <c r="H29" s="2" t="s">
        <v>81</v>
      </c>
      <c r="I29" s="26"/>
      <c r="J29" s="26"/>
      <c r="K29" s="26"/>
    </row>
    <row r="30" spans="2:11" ht="15.75" customHeight="1" thickBot="1" x14ac:dyDescent="0.3">
      <c r="C30" s="106"/>
      <c r="D30" s="106"/>
      <c r="E30" s="106"/>
      <c r="F30" s="106"/>
      <c r="G30" s="26"/>
      <c r="H30" s="2"/>
      <c r="I30" s="26"/>
      <c r="J30" s="26"/>
      <c r="K30" s="26"/>
    </row>
    <row r="31" spans="2:11" ht="39.75" customHeight="1" thickBot="1" x14ac:dyDescent="0.25">
      <c r="B31" s="27" t="s">
        <v>23</v>
      </c>
      <c r="C31" s="39" t="s">
        <v>20</v>
      </c>
      <c r="D31" s="42" t="s">
        <v>5</v>
      </c>
      <c r="E31" s="266" t="s">
        <v>6</v>
      </c>
      <c r="F31" s="271"/>
      <c r="G31" s="66" t="s">
        <v>85</v>
      </c>
      <c r="H31" s="26"/>
      <c r="I31" s="59"/>
      <c r="J31" s="60" t="s">
        <v>82</v>
      </c>
    </row>
    <row r="32" spans="2:11" ht="27" thickBot="1" x14ac:dyDescent="0.3">
      <c r="B32" s="28" t="s">
        <v>14</v>
      </c>
      <c r="C32" s="12"/>
      <c r="D32" s="29" t="s">
        <v>11</v>
      </c>
      <c r="E32" s="30">
        <v>3</v>
      </c>
      <c r="F32" s="14" t="s">
        <v>15</v>
      </c>
      <c r="G32" s="153">
        <f>C32*E32/1000</f>
        <v>0</v>
      </c>
      <c r="I32" s="11" t="s">
        <v>22</v>
      </c>
      <c r="J32" s="83">
        <v>1349490.9893055842</v>
      </c>
      <c r="K32" s="26"/>
    </row>
    <row r="33" spans="1:11" ht="26.25" customHeight="1" thickBot="1" x14ac:dyDescent="0.3">
      <c r="B33" s="32" t="s">
        <v>16</v>
      </c>
      <c r="C33" s="17"/>
      <c r="D33" s="33" t="s">
        <v>11</v>
      </c>
      <c r="E33" s="34">
        <v>1.8</v>
      </c>
      <c r="F33" s="19" t="s">
        <v>17</v>
      </c>
      <c r="G33" s="153">
        <f t="shared" ref="G33:G34" si="2">C33*E33/1000</f>
        <v>0</v>
      </c>
      <c r="I33" s="16" t="s">
        <v>8</v>
      </c>
      <c r="J33" s="83">
        <v>89049.89</v>
      </c>
      <c r="K33" s="26"/>
    </row>
    <row r="34" spans="1:11" ht="27" thickBot="1" x14ac:dyDescent="0.3">
      <c r="B34" s="35" t="s">
        <v>18</v>
      </c>
      <c r="C34" s="22">
        <v>73687</v>
      </c>
      <c r="D34" s="36" t="s">
        <v>24</v>
      </c>
      <c r="E34" s="37">
        <v>0.78800000000000003</v>
      </c>
      <c r="F34" s="24" t="s">
        <v>19</v>
      </c>
      <c r="G34" s="153">
        <f t="shared" si="2"/>
        <v>58.065356000000001</v>
      </c>
      <c r="I34" s="16" t="s">
        <v>26</v>
      </c>
      <c r="J34" s="83">
        <f>2697+10817.67+3716.64+3700+3949.75+11106.48+1521+9544.77</f>
        <v>47053.31</v>
      </c>
    </row>
    <row r="35" spans="1:11" ht="25.5" x14ac:dyDescent="0.2">
      <c r="I35" s="16" t="s">
        <v>30</v>
      </c>
      <c r="J35" s="83"/>
    </row>
    <row r="36" spans="1:11" x14ac:dyDescent="0.2">
      <c r="I36" s="84" t="s">
        <v>76</v>
      </c>
      <c r="J36" s="83">
        <f>SUM(J32:J35)</f>
        <v>1485594.1893055842</v>
      </c>
    </row>
    <row r="37" spans="1:11" x14ac:dyDescent="0.2">
      <c r="I37" s="85" t="s">
        <v>18</v>
      </c>
      <c r="J37" s="152">
        <v>171130.89568504202</v>
      </c>
    </row>
    <row r="39" spans="1:11" ht="23.25" x14ac:dyDescent="0.35">
      <c r="A39" s="101" t="s">
        <v>105</v>
      </c>
    </row>
    <row r="40" spans="1:11" ht="14.25" x14ac:dyDescent="0.2">
      <c r="B40" s="38"/>
      <c r="C40" s="38"/>
      <c r="D40" s="38"/>
      <c r="E40" s="38"/>
      <c r="F40" s="38"/>
    </row>
    <row r="41" spans="1:11" ht="15.75" x14ac:dyDescent="0.25">
      <c r="C41" s="2" t="s">
        <v>32</v>
      </c>
      <c r="D41" s="2"/>
    </row>
    <row r="42" spans="1:11" ht="13.5" thickBot="1" x14ac:dyDescent="0.25"/>
    <row r="43" spans="1:11" ht="27" customHeight="1" thickBot="1" x14ac:dyDescent="0.25">
      <c r="C43" s="43" t="s">
        <v>20</v>
      </c>
      <c r="D43" s="42" t="s">
        <v>5</v>
      </c>
      <c r="E43" s="270" t="s">
        <v>34</v>
      </c>
      <c r="F43" s="270"/>
      <c r="G43" s="41" t="s">
        <v>35</v>
      </c>
    </row>
    <row r="44" spans="1:11" s="46" customFormat="1" ht="26.25" thickBot="1" x14ac:dyDescent="0.3">
      <c r="B44" s="50" t="s">
        <v>22</v>
      </c>
      <c r="C44" s="148">
        <f>$C$15</f>
        <v>9418575</v>
      </c>
      <c r="D44" s="51" t="s">
        <v>21</v>
      </c>
      <c r="E44" s="52">
        <v>2.403</v>
      </c>
      <c r="F44" s="53" t="s">
        <v>33</v>
      </c>
      <c r="G44" s="54">
        <f>C44*E44</f>
        <v>22632835.725000001</v>
      </c>
    </row>
    <row r="46" spans="1:11" ht="15.75" x14ac:dyDescent="0.25">
      <c r="C46" s="269"/>
      <c r="D46" s="269"/>
    </row>
    <row r="47" spans="1:11" ht="13.5" thickBot="1" x14ac:dyDescent="0.25"/>
    <row r="48" spans="1:11" ht="30.75" customHeight="1" thickBot="1" x14ac:dyDescent="0.25">
      <c r="B48" s="7" t="s">
        <v>4</v>
      </c>
      <c r="C48" s="8" t="s">
        <v>20</v>
      </c>
      <c r="D48" s="40" t="s">
        <v>5</v>
      </c>
      <c r="E48" s="274" t="s">
        <v>7</v>
      </c>
      <c r="F48" s="275"/>
      <c r="G48" s="10" t="s">
        <v>21</v>
      </c>
      <c r="H48" s="276" t="s">
        <v>34</v>
      </c>
      <c r="I48" s="276"/>
      <c r="J48" s="41" t="s">
        <v>35</v>
      </c>
    </row>
    <row r="49" spans="1:11" ht="27" thickBot="1" x14ac:dyDescent="0.3">
      <c r="B49" s="11" t="s">
        <v>8</v>
      </c>
      <c r="C49" s="145">
        <f t="shared" ref="C49:C54" si="3">C21</f>
        <v>155546</v>
      </c>
      <c r="D49" s="13" t="s">
        <v>24</v>
      </c>
      <c r="E49" s="14">
        <v>10.7056</v>
      </c>
      <c r="F49" s="15" t="s">
        <v>27</v>
      </c>
      <c r="G49" s="87">
        <f>C49*E49</f>
        <v>1665213.2576000001</v>
      </c>
      <c r="H49" s="14">
        <v>1.1950000000000001</v>
      </c>
      <c r="I49" s="6" t="s">
        <v>33</v>
      </c>
      <c r="J49" s="88">
        <f>G49*H49</f>
        <v>1989929.8428320002</v>
      </c>
    </row>
    <row r="50" spans="1:11" ht="27" thickBot="1" x14ac:dyDescent="0.3">
      <c r="B50" s="16" t="s">
        <v>26</v>
      </c>
      <c r="C50" s="146">
        <f t="shared" si="3"/>
        <v>52621</v>
      </c>
      <c r="D50" s="18" t="s">
        <v>9</v>
      </c>
      <c r="E50" s="19">
        <v>10.6</v>
      </c>
      <c r="F50" s="20" t="s">
        <v>10</v>
      </c>
      <c r="G50" s="87">
        <f t="shared" ref="G50:G54" si="4">C50*E50</f>
        <v>557782.6</v>
      </c>
      <c r="H50" s="19">
        <v>1.1819999999999999</v>
      </c>
      <c r="I50" s="6" t="s">
        <v>33</v>
      </c>
      <c r="J50" s="88">
        <f t="shared" ref="J50:J54" si="5">G50*H50</f>
        <v>659299.03319999995</v>
      </c>
    </row>
    <row r="51" spans="1:11" ht="39.75" thickBot="1" x14ac:dyDescent="0.3">
      <c r="B51" s="16" t="s">
        <v>30</v>
      </c>
      <c r="C51" s="146">
        <f t="shared" si="3"/>
        <v>0</v>
      </c>
      <c r="D51" s="18" t="s">
        <v>11</v>
      </c>
      <c r="E51" s="19">
        <v>11.161099999999999</v>
      </c>
      <c r="F51" s="20" t="s">
        <v>12</v>
      </c>
      <c r="G51" s="87">
        <f t="shared" si="4"/>
        <v>0</v>
      </c>
      <c r="H51" s="19">
        <v>1.113</v>
      </c>
      <c r="I51" s="6" t="s">
        <v>33</v>
      </c>
      <c r="J51" s="88">
        <f t="shared" si="5"/>
        <v>0</v>
      </c>
    </row>
    <row r="52" spans="1:11" ht="27" thickBot="1" x14ac:dyDescent="0.3">
      <c r="B52" s="16" t="s">
        <v>31</v>
      </c>
      <c r="C52" s="146">
        <f t="shared" si="3"/>
        <v>0</v>
      </c>
      <c r="D52" s="18" t="s">
        <v>11</v>
      </c>
      <c r="E52" s="19">
        <v>12.6389</v>
      </c>
      <c r="F52" s="20" t="s">
        <v>12</v>
      </c>
      <c r="G52" s="87">
        <f t="shared" si="4"/>
        <v>0</v>
      </c>
      <c r="H52" s="19">
        <v>1.204</v>
      </c>
      <c r="I52" s="6" t="s">
        <v>33</v>
      </c>
      <c r="J52" s="88">
        <f t="shared" si="5"/>
        <v>0</v>
      </c>
    </row>
    <row r="53" spans="1:11" ht="27" thickBot="1" x14ac:dyDescent="0.3">
      <c r="B53" s="16" t="s">
        <v>28</v>
      </c>
      <c r="C53" s="146">
        <f t="shared" si="3"/>
        <v>0</v>
      </c>
      <c r="D53" s="18" t="s">
        <v>11</v>
      </c>
      <c r="E53" s="19">
        <v>5.6971999999999996</v>
      </c>
      <c r="F53" s="20" t="s">
        <v>12</v>
      </c>
      <c r="G53" s="87">
        <f t="shared" si="4"/>
        <v>0</v>
      </c>
      <c r="H53" s="19">
        <v>1.0840000000000001</v>
      </c>
      <c r="I53" s="6" t="s">
        <v>33</v>
      </c>
      <c r="J53" s="88">
        <f t="shared" si="5"/>
        <v>0</v>
      </c>
    </row>
    <row r="54" spans="1:11" ht="27" thickBot="1" x14ac:dyDescent="0.3">
      <c r="B54" s="16" t="s">
        <v>29</v>
      </c>
      <c r="C54" s="146">
        <f t="shared" si="3"/>
        <v>0</v>
      </c>
      <c r="D54" s="18" t="s">
        <v>11</v>
      </c>
      <c r="E54" s="19">
        <v>7.0917000000000003</v>
      </c>
      <c r="F54" s="20" t="s">
        <v>12</v>
      </c>
      <c r="G54" s="87">
        <f t="shared" si="4"/>
        <v>0</v>
      </c>
      <c r="H54" s="19">
        <v>1.0369999999999999</v>
      </c>
      <c r="I54" s="6" t="s">
        <v>33</v>
      </c>
      <c r="J54" s="88">
        <f t="shared" si="5"/>
        <v>0</v>
      </c>
    </row>
    <row r="55" spans="1:11" ht="16.5" thickBot="1" x14ac:dyDescent="0.3">
      <c r="B55" s="21"/>
      <c r="C55" s="147"/>
      <c r="D55" s="23"/>
      <c r="E55" s="24"/>
      <c r="F55" s="25"/>
      <c r="G55" s="93">
        <f>SUM(G49:G54)</f>
        <v>2222995.8576000002</v>
      </c>
      <c r="H55" s="24"/>
      <c r="I55" s="24"/>
      <c r="J55" s="89">
        <f>SUM(J49:J54)</f>
        <v>2649228.8760320004</v>
      </c>
    </row>
    <row r="56" spans="1:11" x14ac:dyDescent="0.2">
      <c r="C56" s="26"/>
      <c r="D56" s="26"/>
      <c r="E56" s="26"/>
      <c r="F56" s="26"/>
      <c r="G56" s="26"/>
      <c r="H56" s="26"/>
      <c r="I56" s="26"/>
      <c r="J56" s="26"/>
      <c r="K56" s="26"/>
    </row>
    <row r="57" spans="1:11" ht="18.75" x14ac:dyDescent="0.3">
      <c r="A57" s="100" t="s">
        <v>136</v>
      </c>
      <c r="H57" s="26"/>
      <c r="I57" s="26"/>
      <c r="J57" s="26"/>
      <c r="K57" s="26"/>
    </row>
    <row r="58" spans="1:11" ht="15.75" x14ac:dyDescent="0.25">
      <c r="C58" s="2" t="s">
        <v>0</v>
      </c>
      <c r="D58" s="2"/>
      <c r="H58" s="26"/>
      <c r="I58" s="26"/>
      <c r="J58" s="26"/>
      <c r="K58" s="26"/>
    </row>
    <row r="59" spans="1:11" ht="13.5" thickBot="1" x14ac:dyDescent="0.25">
      <c r="H59" s="26"/>
      <c r="I59" s="26"/>
      <c r="J59" s="26"/>
      <c r="K59" s="26"/>
    </row>
    <row r="60" spans="1:11" ht="31.5" customHeight="1" thickBot="1" x14ac:dyDescent="0.25">
      <c r="A60" s="65"/>
      <c r="B60" s="65"/>
      <c r="C60" s="43" t="s">
        <v>107</v>
      </c>
      <c r="D60" s="42" t="s">
        <v>5</v>
      </c>
      <c r="E60" s="270" t="s">
        <v>134</v>
      </c>
      <c r="F60" s="270"/>
      <c r="G60" s="66" t="s">
        <v>182</v>
      </c>
      <c r="H60" s="26"/>
      <c r="I60" s="26"/>
      <c r="J60" s="26"/>
      <c r="K60" s="26"/>
    </row>
    <row r="61" spans="1:11" ht="16.5" thickBot="1" x14ac:dyDescent="0.3">
      <c r="B61" s="278" t="s">
        <v>22</v>
      </c>
      <c r="C61" s="281">
        <v>120349</v>
      </c>
      <c r="D61" s="284" t="s">
        <v>21</v>
      </c>
      <c r="E61" s="5">
        <v>0.35699999999999998</v>
      </c>
      <c r="F61" s="6" t="s">
        <v>2</v>
      </c>
      <c r="G61" s="109">
        <f>-(C61*E61/1000)</f>
        <v>-42.964593000000001</v>
      </c>
      <c r="H61" s="26"/>
      <c r="I61" s="26"/>
      <c r="J61" s="26"/>
      <c r="K61" s="26"/>
    </row>
    <row r="62" spans="1:11" ht="16.5" thickBot="1" x14ac:dyDescent="0.3">
      <c r="B62" s="279"/>
      <c r="C62" s="282"/>
      <c r="D62" s="285"/>
      <c r="E62" s="5">
        <v>0.36659999999999998</v>
      </c>
      <c r="F62" s="6" t="s">
        <v>133</v>
      </c>
      <c r="G62" s="110">
        <f>-(C61*E62/1000)/1000</f>
        <v>-4.41199434E-2</v>
      </c>
      <c r="H62" s="26"/>
      <c r="I62" s="26"/>
      <c r="J62" s="26"/>
      <c r="K62" s="26"/>
    </row>
    <row r="63" spans="1:11" ht="16.5" thickBot="1" x14ac:dyDescent="0.3">
      <c r="B63" s="280"/>
      <c r="C63" s="283"/>
      <c r="D63" s="286"/>
      <c r="E63" s="5">
        <v>0.26100000000000001</v>
      </c>
      <c r="F63" s="6" t="s">
        <v>137</v>
      </c>
      <c r="G63" s="110">
        <f>-(C61*E63/1000)/1000</f>
        <v>-3.1411089000000003E-2</v>
      </c>
      <c r="H63" s="26"/>
      <c r="I63" s="26"/>
      <c r="J63" s="26"/>
      <c r="K63" s="26"/>
    </row>
    <row r="64" spans="1:11" x14ac:dyDescent="0.2">
      <c r="C64" s="26"/>
      <c r="D64" s="26"/>
      <c r="E64" s="26"/>
      <c r="F64" s="26"/>
      <c r="G64" s="26" t="s">
        <v>106</v>
      </c>
      <c r="H64" s="26"/>
      <c r="I64" s="26"/>
      <c r="J64" s="26"/>
      <c r="K64" s="26"/>
    </row>
    <row r="65" spans="1:19" ht="23.25" x14ac:dyDescent="0.35">
      <c r="A65" s="101" t="s">
        <v>152</v>
      </c>
      <c r="C65" s="26"/>
      <c r="D65" s="26"/>
      <c r="E65" s="26"/>
      <c r="F65" s="26"/>
      <c r="G65" s="26"/>
      <c r="H65" s="26"/>
      <c r="I65" s="26"/>
      <c r="J65" s="26"/>
      <c r="K65" s="26"/>
    </row>
    <row r="66" spans="1:19" ht="15.75" x14ac:dyDescent="0.25">
      <c r="B66" s="2" t="s">
        <v>130</v>
      </c>
      <c r="C66" s="26"/>
      <c r="D66" s="26"/>
      <c r="E66" s="26"/>
      <c r="F66" s="26"/>
      <c r="G66" s="26"/>
      <c r="H66" s="26"/>
      <c r="I66" s="26"/>
      <c r="J66" s="26"/>
      <c r="K66" s="26"/>
    </row>
    <row r="67" spans="1:19" ht="25.5" x14ac:dyDescent="0.2">
      <c r="A67" s="135" t="s">
        <v>146</v>
      </c>
      <c r="B67" s="136" t="s">
        <v>36</v>
      </c>
      <c r="C67" s="137"/>
      <c r="D67" s="74">
        <f>G44+J55</f>
        <v>25282064.601032004</v>
      </c>
      <c r="E67" s="82" t="s">
        <v>21</v>
      </c>
      <c r="F67" s="67" t="s">
        <v>45</v>
      </c>
      <c r="G67" s="73">
        <v>162275.76</v>
      </c>
      <c r="H67" s="44" t="s">
        <v>75</v>
      </c>
      <c r="I67" s="26"/>
      <c r="P67" s="272" t="s">
        <v>58</v>
      </c>
      <c r="Q67" s="272"/>
      <c r="R67" s="272"/>
      <c r="S67" s="75" t="s">
        <v>80</v>
      </c>
    </row>
    <row r="68" spans="1:19" ht="25.5" x14ac:dyDescent="0.2">
      <c r="A68" s="135" t="s">
        <v>147</v>
      </c>
      <c r="B68" s="136" t="s">
        <v>37</v>
      </c>
      <c r="C68" s="138"/>
      <c r="D68" s="74">
        <f>C44+G55</f>
        <v>11641570.8576</v>
      </c>
      <c r="E68" s="77" t="s">
        <v>21</v>
      </c>
      <c r="F68" s="67" t="s">
        <v>41</v>
      </c>
      <c r="G68" s="78">
        <f>$F$78</f>
        <v>1462</v>
      </c>
      <c r="P68" s="68" t="s">
        <v>59</v>
      </c>
      <c r="Q68" s="47" t="s">
        <v>43</v>
      </c>
      <c r="R68" s="69">
        <v>3425</v>
      </c>
      <c r="S68" s="76" t="e">
        <f>(R68-#REF!)/#REF!</f>
        <v>#REF!</v>
      </c>
    </row>
    <row r="69" spans="1:19" ht="25.5" x14ac:dyDescent="0.2">
      <c r="A69" s="135" t="s">
        <v>148</v>
      </c>
      <c r="B69" s="136" t="s">
        <v>38</v>
      </c>
      <c r="C69" s="138"/>
      <c r="D69" s="74">
        <f>G15+J27</f>
        <v>4108.4436350121596</v>
      </c>
      <c r="E69" s="77" t="s">
        <v>88</v>
      </c>
      <c r="F69" s="67" t="s">
        <v>42</v>
      </c>
      <c r="G69" s="78">
        <f>$C$79</f>
        <v>15451</v>
      </c>
      <c r="P69" s="70" t="s">
        <v>60</v>
      </c>
      <c r="Q69" s="47" t="s">
        <v>61</v>
      </c>
      <c r="R69" s="71">
        <v>68</v>
      </c>
      <c r="S69" s="76" t="e">
        <f>(R69-#REF!)/#REF!</f>
        <v>#REF!</v>
      </c>
    </row>
    <row r="70" spans="1:19" ht="38.25" x14ac:dyDescent="0.2">
      <c r="A70" s="135" t="s">
        <v>149</v>
      </c>
      <c r="B70" s="136" t="s">
        <v>39</v>
      </c>
      <c r="C70" s="138"/>
      <c r="D70" s="74">
        <f>D68*0.366/1000</f>
        <v>4260.8149338815992</v>
      </c>
      <c r="E70" s="77" t="s">
        <v>89</v>
      </c>
      <c r="F70" s="140" t="s">
        <v>169</v>
      </c>
      <c r="G70" s="80">
        <f>G68+G69</f>
        <v>16913</v>
      </c>
      <c r="P70" s="47"/>
      <c r="Q70" s="47" t="s">
        <v>62</v>
      </c>
      <c r="R70" s="71">
        <v>1757</v>
      </c>
      <c r="S70" s="76" t="e">
        <f>(R70-#REF!)/#REF!</f>
        <v>#REF!</v>
      </c>
    </row>
    <row r="71" spans="1:19" ht="15" x14ac:dyDescent="0.2">
      <c r="A71" s="135" t="s">
        <v>150</v>
      </c>
      <c r="B71" s="136" t="s">
        <v>40</v>
      </c>
      <c r="C71" s="138"/>
      <c r="D71" s="74">
        <f>D68*0.261/1000</f>
        <v>3038.4499938336003</v>
      </c>
      <c r="E71" s="77" t="s">
        <v>89</v>
      </c>
      <c r="F71" s="72"/>
      <c r="G71" s="72"/>
    </row>
    <row r="72" spans="1:19" ht="27.75" customHeight="1" x14ac:dyDescent="0.25">
      <c r="A72" s="135" t="s">
        <v>151</v>
      </c>
      <c r="B72" s="273" t="s">
        <v>138</v>
      </c>
      <c r="C72" s="273"/>
      <c r="D72" s="74">
        <v>116572</v>
      </c>
      <c r="E72" s="67" t="s">
        <v>21</v>
      </c>
      <c r="F72"/>
      <c r="G72"/>
      <c r="H72"/>
      <c r="I72"/>
      <c r="J72"/>
    </row>
    <row r="73" spans="1:19" ht="15.75" x14ac:dyDescent="0.2">
      <c r="A73" s="108"/>
      <c r="B73" s="107"/>
      <c r="D73" s="74"/>
      <c r="E73" s="67"/>
    </row>
    <row r="74" spans="1:19" ht="22.5" x14ac:dyDescent="0.2">
      <c r="B74" s="287" t="s">
        <v>50</v>
      </c>
      <c r="C74" s="287"/>
      <c r="D74" s="75" t="s">
        <v>153</v>
      </c>
      <c r="E74" s="288" t="s">
        <v>54</v>
      </c>
      <c r="F74" s="288"/>
      <c r="G74" s="75" t="s">
        <v>153</v>
      </c>
    </row>
    <row r="75" spans="1:19" x14ac:dyDescent="0.2">
      <c r="B75" s="47" t="s">
        <v>179</v>
      </c>
      <c r="C75" s="56">
        <v>14184</v>
      </c>
      <c r="D75" s="160">
        <f>(C75-'2013'!C75)/'2013'!C75</f>
        <v>-5.0475297897978312E-2</v>
      </c>
      <c r="E75" s="47" t="s">
        <v>55</v>
      </c>
      <c r="F75" s="56">
        <v>888</v>
      </c>
      <c r="G75" s="160">
        <f>(F75-'2013'!F75)/'2013'!F75</f>
        <v>-1.5521064301552107E-2</v>
      </c>
      <c r="K75" s="56"/>
    </row>
    <row r="76" spans="1:19" x14ac:dyDescent="0.2">
      <c r="B76" s="47" t="s">
        <v>51</v>
      </c>
      <c r="C76" s="56">
        <v>190</v>
      </c>
      <c r="D76" s="160">
        <f>(C76-'2013'!C76)/'2013'!C76</f>
        <v>0</v>
      </c>
      <c r="E76" s="47" t="s">
        <v>57</v>
      </c>
      <c r="F76" s="56">
        <v>77</v>
      </c>
      <c r="G76" s="160">
        <f>(F76-'2013'!F76)/'2013'!F76</f>
        <v>-4.9382716049382713E-2</v>
      </c>
    </row>
    <row r="77" spans="1:19" x14ac:dyDescent="0.2">
      <c r="B77" s="47" t="s">
        <v>52</v>
      </c>
      <c r="C77" s="56">
        <v>1077</v>
      </c>
      <c r="D77" s="160">
        <f>(C77-'2013'!C77)/'2013'!C77</f>
        <v>0.11145510835913312</v>
      </c>
      <c r="E77" s="47" t="s">
        <v>56</v>
      </c>
      <c r="F77" s="56">
        <v>497</v>
      </c>
      <c r="G77" s="160">
        <f>(F77-'2013'!F77)/'2013'!F77</f>
        <v>6.1965811965811968E-2</v>
      </c>
    </row>
    <row r="78" spans="1:19" x14ac:dyDescent="0.2">
      <c r="B78" s="47" t="s">
        <v>53</v>
      </c>
      <c r="C78" s="78"/>
      <c r="D78" s="160"/>
      <c r="E78" s="79" t="s">
        <v>76</v>
      </c>
      <c r="F78" s="80">
        <f>SUM(F75:F77)</f>
        <v>1462</v>
      </c>
      <c r="G78" s="160">
        <f>(F78-'2013'!F78)/'2013'!F78</f>
        <v>7.5809786354238459E-3</v>
      </c>
    </row>
    <row r="79" spans="1:19" x14ac:dyDescent="0.2">
      <c r="B79" s="79" t="s">
        <v>76</v>
      </c>
      <c r="C79" s="80">
        <f>SUM(C75:C78)</f>
        <v>15451</v>
      </c>
      <c r="D79" s="160">
        <f>(C79-'2013'!C79)/'2013'!C79</f>
        <v>-4.013170155929676E-2</v>
      </c>
      <c r="G79" s="76"/>
    </row>
    <row r="80" spans="1:19" ht="13.5" customHeight="1" x14ac:dyDescent="0.2"/>
    <row r="81" spans="2:7" ht="13.5" customHeight="1" x14ac:dyDescent="0.2">
      <c r="B81" s="79"/>
      <c r="C81" s="80"/>
      <c r="D81" s="76"/>
    </row>
    <row r="82" spans="2:7" ht="13.5" customHeight="1" x14ac:dyDescent="0.25">
      <c r="B82" s="2" t="s">
        <v>131</v>
      </c>
      <c r="C82" s="80"/>
      <c r="D82" s="76"/>
    </row>
    <row r="83" spans="2:7" ht="13.5" customHeight="1" x14ac:dyDescent="0.25">
      <c r="B83" s="2"/>
      <c r="C83" s="80"/>
      <c r="D83" s="76"/>
    </row>
    <row r="84" spans="2:7" ht="30.75" thickBot="1" x14ac:dyDescent="0.35">
      <c r="B84" s="139" t="s">
        <v>154</v>
      </c>
      <c r="C84" s="96" t="s">
        <v>44</v>
      </c>
      <c r="D84" s="96"/>
      <c r="E84" s="96"/>
      <c r="F84" s="96"/>
      <c r="G84" s="81" t="s">
        <v>153</v>
      </c>
    </row>
    <row r="85" spans="2:7" ht="30.75" customHeight="1" thickTop="1" x14ac:dyDescent="0.2">
      <c r="B85" s="123" t="s">
        <v>44</v>
      </c>
      <c r="C85" s="277" t="s">
        <v>78</v>
      </c>
      <c r="D85" s="277"/>
      <c r="E85" s="121">
        <f>IF(D68=0,0,D68/$G$67)</f>
        <v>71.739432048261548</v>
      </c>
      <c r="F85" s="114" t="s">
        <v>70</v>
      </c>
      <c r="G85" s="160">
        <f>(E85-'2013'!E85)/'2013'!E85</f>
        <v>-3.0279007723742362E-3</v>
      </c>
    </row>
    <row r="86" spans="2:7" ht="15.75" customHeight="1" thickBot="1" x14ac:dyDescent="0.3">
      <c r="B86" s="122"/>
      <c r="C86" s="96" t="s">
        <v>46</v>
      </c>
      <c r="D86" s="96"/>
      <c r="E86" s="96"/>
      <c r="F86" s="96"/>
      <c r="G86" s="142"/>
    </row>
    <row r="87" spans="2:7" ht="26.25" customHeight="1" thickTop="1" x14ac:dyDescent="0.2">
      <c r="B87" s="124" t="s">
        <v>46</v>
      </c>
      <c r="C87" s="277" t="s">
        <v>79</v>
      </c>
      <c r="D87" s="277"/>
      <c r="E87" s="121">
        <f>IF(D67=0,0,D67/$G$67)</f>
        <v>155.79692617697185</v>
      </c>
      <c r="F87" s="114" t="s">
        <v>70</v>
      </c>
      <c r="G87" s="160">
        <f>(E87-'2013'!E87)/'2013'!E87</f>
        <v>-6.6162679135133408E-4</v>
      </c>
    </row>
    <row r="88" spans="2:7" ht="15.75" customHeight="1" thickBot="1" x14ac:dyDescent="0.3">
      <c r="B88" s="97"/>
      <c r="C88" s="96" t="s">
        <v>47</v>
      </c>
      <c r="D88" s="96"/>
      <c r="E88" s="96"/>
      <c r="F88" s="96"/>
      <c r="G88" s="142"/>
    </row>
    <row r="89" spans="2:7" ht="30.75" customHeight="1" thickTop="1" x14ac:dyDescent="0.2">
      <c r="B89" s="125" t="s">
        <v>108</v>
      </c>
      <c r="C89" s="277" t="s">
        <v>156</v>
      </c>
      <c r="D89" s="277"/>
      <c r="E89" s="120">
        <f>IF(D68=0,0,D68/F78)</f>
        <v>7962.7707644322845</v>
      </c>
      <c r="F89" s="114" t="s">
        <v>165</v>
      </c>
      <c r="G89" s="160">
        <f>(E89-'2013'!E89)/'2013'!E89</f>
        <v>-1.0529058837698401E-2</v>
      </c>
    </row>
    <row r="90" spans="2:7" ht="26.25" customHeight="1" x14ac:dyDescent="0.2">
      <c r="B90" s="126" t="s">
        <v>109</v>
      </c>
      <c r="C90" s="277" t="s">
        <v>157</v>
      </c>
      <c r="D90" s="277"/>
      <c r="E90" s="121">
        <f>IF(D68=0,0,D68/G70)</f>
        <v>688.32086901200262</v>
      </c>
      <c r="F90" s="114" t="s">
        <v>101</v>
      </c>
      <c r="G90" s="141"/>
    </row>
    <row r="91" spans="2:7" ht="15.75" thickBot="1" x14ac:dyDescent="0.3">
      <c r="B91" s="97"/>
      <c r="C91" s="96" t="s">
        <v>90</v>
      </c>
      <c r="D91" s="96"/>
      <c r="E91" s="96"/>
      <c r="F91" s="96"/>
      <c r="G91" s="142"/>
    </row>
    <row r="92" spans="2:7" ht="30.75" customHeight="1" thickTop="1" x14ac:dyDescent="0.2">
      <c r="B92" s="127" t="s">
        <v>90</v>
      </c>
      <c r="C92" s="289" t="s">
        <v>72</v>
      </c>
      <c r="D92" s="289"/>
      <c r="E92" s="116">
        <f>IF(D69=0,0,D69/$G$67)</f>
        <v>2.5317666883902804E-2</v>
      </c>
      <c r="F92" s="117" t="s">
        <v>87</v>
      </c>
      <c r="G92" s="160">
        <f>(E92-'2013'!E92)/'2013'!E92</f>
        <v>-1.0807810897725081E-3</v>
      </c>
    </row>
    <row r="93" spans="2:7" ht="25.5" customHeight="1" thickBot="1" x14ac:dyDescent="0.3">
      <c r="B93" s="122"/>
      <c r="C93" s="96" t="s">
        <v>91</v>
      </c>
      <c r="D93" s="96"/>
      <c r="E93" s="96"/>
      <c r="F93" s="96"/>
      <c r="G93" s="142"/>
    </row>
    <row r="94" spans="2:7" ht="15.75" customHeight="1" thickTop="1" x14ac:dyDescent="0.2">
      <c r="B94" s="127" t="s">
        <v>91</v>
      </c>
      <c r="C94" s="289" t="s">
        <v>73</v>
      </c>
      <c r="D94" s="289"/>
      <c r="E94" s="116">
        <f>IF(D70=0,0,D70/$G$67)</f>
        <v>2.6256632129663723E-2</v>
      </c>
      <c r="F94" s="117" t="s">
        <v>71</v>
      </c>
      <c r="G94" s="160">
        <f>(E94-'2013'!E94)/'2013'!E94</f>
        <v>-3.0279007723743165E-3</v>
      </c>
    </row>
    <row r="95" spans="2:7" ht="13.5" customHeight="1" thickBot="1" x14ac:dyDescent="0.3">
      <c r="B95" s="122"/>
      <c r="C95" s="96" t="s">
        <v>92</v>
      </c>
      <c r="D95" s="96"/>
      <c r="E95" s="96"/>
      <c r="F95" s="96"/>
      <c r="G95" s="142"/>
    </row>
    <row r="96" spans="2:7" ht="29.25" customHeight="1" thickTop="1" x14ac:dyDescent="0.2">
      <c r="B96" s="127" t="s">
        <v>92</v>
      </c>
      <c r="C96" s="289" t="s">
        <v>74</v>
      </c>
      <c r="D96" s="289"/>
      <c r="E96" s="116">
        <f>IF(D71=0,0,D71/$G$67)</f>
        <v>1.8723991764596267E-2</v>
      </c>
      <c r="F96" s="117" t="s">
        <v>71</v>
      </c>
      <c r="G96" s="160">
        <f>(E96-'2013'!E96)/'2013'!E96</f>
        <v>-3.0279007723741599E-3</v>
      </c>
    </row>
    <row r="97" spans="2:8" ht="15.75" thickBot="1" x14ac:dyDescent="0.3">
      <c r="B97" s="122"/>
      <c r="C97" s="96" t="s">
        <v>93</v>
      </c>
      <c r="D97" s="96"/>
      <c r="E97" s="96"/>
      <c r="F97" s="96"/>
      <c r="G97" s="142"/>
    </row>
    <row r="98" spans="2:8" ht="13.5" customHeight="1" thickTop="1" x14ac:dyDescent="0.2">
      <c r="B98" s="128" t="s">
        <v>110</v>
      </c>
      <c r="C98" s="289" t="s">
        <v>158</v>
      </c>
      <c r="D98" s="289"/>
      <c r="E98" s="116">
        <f>IF(D69=0,0,D69/$F$78)</f>
        <v>2.8101529651245962</v>
      </c>
      <c r="F98" s="117" t="s">
        <v>166</v>
      </c>
      <c r="G98" s="160">
        <f>(E98-'2013'!E98)/'2013'!E98</f>
        <v>-8.5965891663883839E-3</v>
      </c>
      <c r="H98" s="99"/>
    </row>
    <row r="99" spans="2:8" ht="28.5" customHeight="1" x14ac:dyDescent="0.2">
      <c r="B99" s="129" t="s">
        <v>111</v>
      </c>
      <c r="C99" s="289" t="s">
        <v>159</v>
      </c>
      <c r="D99" s="289"/>
      <c r="E99" s="116">
        <f>D69/$G$70</f>
        <v>0.24291631496553892</v>
      </c>
      <c r="F99" s="117" t="s">
        <v>86</v>
      </c>
      <c r="G99" s="141"/>
      <c r="H99" s="95"/>
    </row>
    <row r="100" spans="2:8" ht="15.75" thickBot="1" x14ac:dyDescent="0.3">
      <c r="B100" s="122"/>
      <c r="C100" s="96" t="s">
        <v>94</v>
      </c>
      <c r="D100" s="96"/>
      <c r="E100" s="96"/>
      <c r="F100" s="96"/>
      <c r="G100" s="142"/>
    </row>
    <row r="101" spans="2:8" ht="13.5" customHeight="1" thickTop="1" x14ac:dyDescent="0.2">
      <c r="B101" s="128" t="s">
        <v>112</v>
      </c>
      <c r="C101" s="289" t="s">
        <v>160</v>
      </c>
      <c r="D101" s="289"/>
      <c r="E101" s="116">
        <f>IF(D70=0,0,D70/$F$78)</f>
        <v>2.9143740997822158</v>
      </c>
      <c r="F101" s="117" t="s">
        <v>167</v>
      </c>
      <c r="G101" s="160">
        <f>(E101-'2013'!E101)/'2013'!E101</f>
        <v>-1.0529058837698347E-2</v>
      </c>
    </row>
    <row r="102" spans="2:8" ht="26.25" customHeight="1" x14ac:dyDescent="0.2">
      <c r="B102" s="129" t="s">
        <v>113</v>
      </c>
      <c r="C102" s="289" t="s">
        <v>164</v>
      </c>
      <c r="D102" s="289"/>
      <c r="E102" s="116">
        <f>D70/$G$70</f>
        <v>0.2519254380583929</v>
      </c>
      <c r="F102" s="117" t="s">
        <v>77</v>
      </c>
      <c r="G102" s="141"/>
    </row>
    <row r="103" spans="2:8" ht="13.5" customHeight="1" thickBot="1" x14ac:dyDescent="0.3">
      <c r="B103" s="122"/>
      <c r="C103" s="96" t="s">
        <v>95</v>
      </c>
      <c r="D103" s="96"/>
      <c r="E103" s="96"/>
      <c r="F103" s="96"/>
      <c r="G103" s="142"/>
    </row>
    <row r="104" spans="2:8" ht="33.75" customHeight="1" thickTop="1" x14ac:dyDescent="0.2">
      <c r="B104" s="128" t="s">
        <v>114</v>
      </c>
      <c r="C104" s="289" t="s">
        <v>161</v>
      </c>
      <c r="D104" s="289"/>
      <c r="E104" s="116">
        <f>IF(D71=0,0,D71/$F$78)</f>
        <v>2.0782831695168262</v>
      </c>
      <c r="F104" s="117" t="s">
        <v>167</v>
      </c>
      <c r="G104" s="160">
        <f>(E104-'2013'!E104)/'2013'!E104</f>
        <v>-1.0529058837698453E-2</v>
      </c>
    </row>
    <row r="105" spans="2:8" ht="29.25" customHeight="1" x14ac:dyDescent="0.2">
      <c r="B105" s="129" t="s">
        <v>115</v>
      </c>
      <c r="C105" s="289" t="s">
        <v>162</v>
      </c>
      <c r="D105" s="289"/>
      <c r="E105" s="116">
        <f>D71/G70</f>
        <v>0.1796517468121327</v>
      </c>
      <c r="F105" s="117" t="s">
        <v>77</v>
      </c>
      <c r="G105" s="143"/>
    </row>
    <row r="106" spans="2:8" ht="15.75" thickBot="1" x14ac:dyDescent="0.3">
      <c r="B106" s="122"/>
      <c r="C106" s="96" t="s">
        <v>96</v>
      </c>
      <c r="D106" s="96"/>
      <c r="E106" s="96"/>
      <c r="F106" s="96"/>
      <c r="G106" s="142"/>
    </row>
    <row r="107" spans="2:8" ht="30" customHeight="1" thickTop="1" x14ac:dyDescent="0.2">
      <c r="B107" s="124" t="s">
        <v>96</v>
      </c>
      <c r="C107" s="277" t="s">
        <v>99</v>
      </c>
      <c r="D107" s="277"/>
      <c r="E107" s="113">
        <f>IF(C34=0,0,C34/G67)*1000</f>
        <v>454.08507099273481</v>
      </c>
      <c r="F107" s="114" t="s">
        <v>100</v>
      </c>
      <c r="G107" s="160">
        <f>(E107-'2013'!E107)/'2013'!E107</f>
        <v>0.15799977998837081</v>
      </c>
    </row>
    <row r="108" spans="2:8" ht="15.75" thickBot="1" x14ac:dyDescent="0.3">
      <c r="B108" s="122"/>
      <c r="C108" s="96" t="s">
        <v>97</v>
      </c>
      <c r="D108" s="96"/>
      <c r="E108" s="96"/>
      <c r="F108" s="96"/>
      <c r="G108" s="142"/>
    </row>
    <row r="109" spans="2:8" ht="15.75" thickTop="1" x14ac:dyDescent="0.2">
      <c r="B109" s="125" t="s">
        <v>142</v>
      </c>
      <c r="C109" s="277" t="s">
        <v>155</v>
      </c>
      <c r="D109" s="277"/>
      <c r="E109" s="113">
        <f>C34/F78</f>
        <v>50.401504787961699</v>
      </c>
      <c r="F109" s="114" t="s">
        <v>170</v>
      </c>
      <c r="G109" s="160">
        <f>(E109-'2013'!E109)/'2013'!E109</f>
        <v>0.14928705934550351</v>
      </c>
    </row>
    <row r="110" spans="2:8" ht="33" customHeight="1" x14ac:dyDescent="0.2">
      <c r="B110" s="126" t="s">
        <v>143</v>
      </c>
      <c r="C110" s="277" t="s">
        <v>163</v>
      </c>
      <c r="D110" s="277"/>
      <c r="E110" s="113">
        <f>C34/G70</f>
        <v>4.3568261100928281</v>
      </c>
      <c r="F110" s="114" t="s">
        <v>183</v>
      </c>
      <c r="G110" s="160">
        <f>(E110-'2013'!E110)/'2013'!E110</f>
        <v>0.20147697861029573</v>
      </c>
    </row>
    <row r="111" spans="2:8" ht="18" customHeight="1" thickBot="1" x14ac:dyDescent="0.3">
      <c r="B111" s="122"/>
      <c r="C111" s="96" t="s">
        <v>98</v>
      </c>
      <c r="D111" s="96"/>
      <c r="E111" s="96"/>
      <c r="F111" s="96"/>
      <c r="G111" s="142"/>
    </row>
    <row r="112" spans="2:8" ht="22.5" customHeight="1" thickTop="1" x14ac:dyDescent="0.2">
      <c r="B112" s="130" t="s">
        <v>98</v>
      </c>
      <c r="C112" s="291" t="s">
        <v>132</v>
      </c>
      <c r="D112" s="291"/>
      <c r="E112" s="151">
        <f>J36/G67</f>
        <v>9.1547510811570625</v>
      </c>
      <c r="F112" s="119" t="s">
        <v>171</v>
      </c>
      <c r="G112" s="160">
        <f>(E112-'2013'!E112)/'2013'!E112</f>
        <v>-1.3938497104818804E-2</v>
      </c>
    </row>
    <row r="113" spans="2:7" ht="15.75" thickBot="1" x14ac:dyDescent="0.3">
      <c r="B113" s="122"/>
      <c r="C113" s="96" t="s">
        <v>102</v>
      </c>
      <c r="D113" s="96"/>
      <c r="E113" s="96"/>
      <c r="F113" s="96"/>
      <c r="G113" s="142"/>
    </row>
    <row r="114" spans="2:7" ht="19.5" customHeight="1" thickTop="1" x14ac:dyDescent="0.2">
      <c r="B114" s="130" t="s">
        <v>102</v>
      </c>
      <c r="C114" s="291" t="s">
        <v>172</v>
      </c>
      <c r="D114" s="291"/>
      <c r="E114" s="151">
        <f>J37/G67</f>
        <v>1.0545684437715281</v>
      </c>
      <c r="F114" s="119" t="s">
        <v>83</v>
      </c>
      <c r="G114" s="160">
        <f>(E114-'2013'!E114)/'2013'!E114</f>
        <v>0.19386271331161248</v>
      </c>
    </row>
    <row r="115" spans="2:7" ht="12.75" customHeight="1" thickBot="1" x14ac:dyDescent="0.3">
      <c r="B115" s="122"/>
      <c r="C115" s="96" t="s">
        <v>103</v>
      </c>
      <c r="D115" s="96"/>
      <c r="E115" s="96"/>
      <c r="F115" s="96"/>
      <c r="G115" s="142"/>
    </row>
    <row r="116" spans="2:7" ht="30" customHeight="1" thickTop="1" x14ac:dyDescent="0.2">
      <c r="B116" s="131" t="s">
        <v>177</v>
      </c>
      <c r="C116" s="291" t="s">
        <v>173</v>
      </c>
      <c r="D116" s="291"/>
      <c r="E116" s="151">
        <f>J36/F78</f>
        <v>1016.1382963786485</v>
      </c>
      <c r="F116" s="119" t="s">
        <v>168</v>
      </c>
      <c r="G116" s="160">
        <f>(E116-'2013'!E116)/'2013'!E116</f>
        <v>-2.1357564500062855E-2</v>
      </c>
    </row>
    <row r="117" spans="2:7" ht="27" customHeight="1" x14ac:dyDescent="0.2">
      <c r="B117" s="132" t="s">
        <v>178</v>
      </c>
      <c r="C117" s="291" t="s">
        <v>174</v>
      </c>
      <c r="D117" s="291"/>
      <c r="E117" s="151">
        <f>J36/G70</f>
        <v>87.837414373888976</v>
      </c>
      <c r="F117" s="119" t="s">
        <v>84</v>
      </c>
      <c r="G117" s="160">
        <f>(E117-'2013'!E117)/'2013'!E117</f>
        <v>2.3083264518692349E-2</v>
      </c>
    </row>
    <row r="118" spans="2:7" ht="15.75" thickBot="1" x14ac:dyDescent="0.3">
      <c r="B118" s="122"/>
      <c r="C118" s="96" t="s">
        <v>104</v>
      </c>
      <c r="D118" s="96"/>
      <c r="E118" s="96"/>
      <c r="F118" s="96"/>
      <c r="G118" s="142"/>
    </row>
    <row r="119" spans="2:7" ht="13.5" customHeight="1" thickTop="1" x14ac:dyDescent="0.2">
      <c r="B119" s="131" t="s">
        <v>144</v>
      </c>
      <c r="C119" s="291" t="s">
        <v>175</v>
      </c>
      <c r="D119" s="291"/>
      <c r="E119" s="151">
        <f>J37/F78</f>
        <v>117.05259622779892</v>
      </c>
      <c r="F119" s="119" t="s">
        <v>168</v>
      </c>
      <c r="G119" s="160">
        <f>(E119-'2013'!E119)/'2013'!E119</f>
        <v>0.18488016211706562</v>
      </c>
    </row>
    <row r="120" spans="2:7" ht="27" customHeight="1" x14ac:dyDescent="0.2">
      <c r="B120" s="132" t="s">
        <v>145</v>
      </c>
      <c r="C120" s="291" t="s">
        <v>176</v>
      </c>
      <c r="D120" s="291"/>
      <c r="E120" s="151">
        <f>J37/G70</f>
        <v>10.118305190388579</v>
      </c>
      <c r="F120" s="119" t="s">
        <v>84</v>
      </c>
      <c r="G120" s="160">
        <f>(E120-'2013'!E120)/'2013'!E120</f>
        <v>0.23868638876557571</v>
      </c>
    </row>
    <row r="121" spans="2:7" ht="15.75" thickBot="1" x14ac:dyDescent="0.3">
      <c r="B121" s="122"/>
      <c r="C121" s="96" t="s">
        <v>140</v>
      </c>
      <c r="D121" s="96"/>
      <c r="E121" s="96"/>
      <c r="F121" s="96"/>
      <c r="G121" s="142"/>
    </row>
    <row r="122" spans="2:7" ht="37.5" customHeight="1" thickTop="1" x14ac:dyDescent="0.2">
      <c r="B122" s="130" t="s">
        <v>140</v>
      </c>
      <c r="C122" s="290" t="s">
        <v>141</v>
      </c>
      <c r="D122" s="290"/>
      <c r="E122" s="133">
        <f>D72/C15</f>
        <v>1.2376819210974058E-2</v>
      </c>
      <c r="F122" s="134"/>
      <c r="G122" s="160">
        <f>(E122-'2013'!E122)/'2013'!E122</f>
        <v>-2.2208242754345664E-3</v>
      </c>
    </row>
    <row r="123" spans="2:7" x14ac:dyDescent="0.2">
      <c r="E123" s="58"/>
    </row>
    <row r="124" spans="2:7" x14ac:dyDescent="0.2">
      <c r="E124" s="58"/>
    </row>
    <row r="125" spans="2:7" x14ac:dyDescent="0.2">
      <c r="E125" s="58"/>
    </row>
    <row r="126" spans="2:7" x14ac:dyDescent="0.2">
      <c r="E126" s="58"/>
    </row>
  </sheetData>
  <mergeCells count="43">
    <mergeCell ref="C122:D122"/>
    <mergeCell ref="C112:D112"/>
    <mergeCell ref="C114:D114"/>
    <mergeCell ref="C116:D116"/>
    <mergeCell ref="C117:D117"/>
    <mergeCell ref="C119:D119"/>
    <mergeCell ref="C120:D120"/>
    <mergeCell ref="C110:D110"/>
    <mergeCell ref="C92:D92"/>
    <mergeCell ref="C94:D94"/>
    <mergeCell ref="C96:D96"/>
    <mergeCell ref="C98:D98"/>
    <mergeCell ref="C99:D99"/>
    <mergeCell ref="C101:D101"/>
    <mergeCell ref="C102:D102"/>
    <mergeCell ref="C104:D104"/>
    <mergeCell ref="C105:D105"/>
    <mergeCell ref="C107:D107"/>
    <mergeCell ref="C109:D109"/>
    <mergeCell ref="C90:D90"/>
    <mergeCell ref="E60:F60"/>
    <mergeCell ref="B61:B63"/>
    <mergeCell ref="C61:C63"/>
    <mergeCell ref="D61:D63"/>
    <mergeCell ref="B74:C74"/>
    <mergeCell ref="E74:F74"/>
    <mergeCell ref="C85:D85"/>
    <mergeCell ref="C87:D87"/>
    <mergeCell ref="C89:D89"/>
    <mergeCell ref="P67:R67"/>
    <mergeCell ref="B72:C72"/>
    <mergeCell ref="C29:F29"/>
    <mergeCell ref="E31:F31"/>
    <mergeCell ref="E43:F43"/>
    <mergeCell ref="C46:D46"/>
    <mergeCell ref="E48:F48"/>
    <mergeCell ref="H48:I48"/>
    <mergeCell ref="H20:I20"/>
    <mergeCell ref="A9:C9"/>
    <mergeCell ref="C12:F12"/>
    <mergeCell ref="E14:F14"/>
    <mergeCell ref="C18:F18"/>
    <mergeCell ref="E20:F20"/>
  </mergeCells>
  <conditionalFormatting sqref="D75:D79">
    <cfRule type="cellIs" dxfId="82" priority="21" operator="lessThan">
      <formula>0</formula>
    </cfRule>
  </conditionalFormatting>
  <conditionalFormatting sqref="G85">
    <cfRule type="cellIs" dxfId="81" priority="20" operator="lessThan">
      <formula>0</formula>
    </cfRule>
  </conditionalFormatting>
  <conditionalFormatting sqref="G87">
    <cfRule type="cellIs" dxfId="80" priority="19" operator="lessThan">
      <formula>0</formula>
    </cfRule>
  </conditionalFormatting>
  <conditionalFormatting sqref="G89">
    <cfRule type="cellIs" dxfId="79" priority="18" operator="lessThan">
      <formula>0</formula>
    </cfRule>
  </conditionalFormatting>
  <conditionalFormatting sqref="G92">
    <cfRule type="cellIs" dxfId="78" priority="17" operator="lessThan">
      <formula>0</formula>
    </cfRule>
  </conditionalFormatting>
  <conditionalFormatting sqref="G94">
    <cfRule type="cellIs" dxfId="77" priority="16" operator="lessThan">
      <formula>0</formula>
    </cfRule>
  </conditionalFormatting>
  <conditionalFormatting sqref="G96">
    <cfRule type="cellIs" dxfId="76" priority="15" operator="lessThan">
      <formula>0</formula>
    </cfRule>
  </conditionalFormatting>
  <conditionalFormatting sqref="G98">
    <cfRule type="cellIs" dxfId="75" priority="14" operator="lessThan">
      <formula>0</formula>
    </cfRule>
  </conditionalFormatting>
  <conditionalFormatting sqref="G101">
    <cfRule type="cellIs" dxfId="74" priority="13" operator="lessThan">
      <formula>0</formula>
    </cfRule>
  </conditionalFormatting>
  <conditionalFormatting sqref="G104">
    <cfRule type="cellIs" dxfId="73" priority="12" operator="lessThan">
      <formula>0</formula>
    </cfRule>
  </conditionalFormatting>
  <conditionalFormatting sqref="G107">
    <cfRule type="cellIs" dxfId="72" priority="11" operator="lessThan">
      <formula>0</formula>
    </cfRule>
  </conditionalFormatting>
  <conditionalFormatting sqref="G109">
    <cfRule type="cellIs" dxfId="71" priority="10" operator="lessThan">
      <formula>0</formula>
    </cfRule>
  </conditionalFormatting>
  <conditionalFormatting sqref="G110">
    <cfRule type="cellIs" dxfId="70" priority="9" operator="lessThan">
      <formula>0</formula>
    </cfRule>
  </conditionalFormatting>
  <conditionalFormatting sqref="G112">
    <cfRule type="cellIs" dxfId="69" priority="8" operator="lessThan">
      <formula>0</formula>
    </cfRule>
  </conditionalFormatting>
  <conditionalFormatting sqref="G114">
    <cfRule type="cellIs" dxfId="68" priority="7" operator="lessThan">
      <formula>0</formula>
    </cfRule>
  </conditionalFormatting>
  <conditionalFormatting sqref="G116">
    <cfRule type="cellIs" dxfId="67" priority="6" operator="lessThan">
      <formula>0</formula>
    </cfRule>
  </conditionalFormatting>
  <conditionalFormatting sqref="G117">
    <cfRule type="cellIs" dxfId="66" priority="5" operator="lessThan">
      <formula>0</formula>
    </cfRule>
  </conditionalFormatting>
  <conditionalFormatting sqref="G119">
    <cfRule type="cellIs" dxfId="65" priority="4" operator="lessThan">
      <formula>0</formula>
    </cfRule>
  </conditionalFormatting>
  <conditionalFormatting sqref="G120">
    <cfRule type="cellIs" dxfId="64" priority="3" operator="lessThan">
      <formula>0</formula>
    </cfRule>
  </conditionalFormatting>
  <conditionalFormatting sqref="G122">
    <cfRule type="cellIs" dxfId="63" priority="2" operator="lessThan">
      <formula>0</formula>
    </cfRule>
  </conditionalFormatting>
  <conditionalFormatting sqref="G75:G78">
    <cfRule type="cellIs" dxfId="62" priority="1" operator="lessThan">
      <formula>0</formula>
    </cfRule>
  </conditionalFormatting>
  <hyperlinks>
    <hyperlink ref="B3" r:id="rId1"/>
  </hyperlinks>
  <pageMargins left="0.70866141732283472" right="0.21" top="0.41" bottom="0.74803149606299213" header="0.31496062992125984" footer="0.31496062992125984"/>
  <pageSetup paperSize="9" scale="78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opLeftCell="A58" zoomScaleNormal="100" zoomScaleSheetLayoutView="100" workbookViewId="0">
      <selection activeCell="G122" sqref="G122"/>
    </sheetView>
  </sheetViews>
  <sheetFormatPr baseColWidth="10" defaultRowHeight="12.75" x14ac:dyDescent="0.2"/>
  <cols>
    <col min="1" max="1" width="11.42578125" style="1"/>
    <col min="2" max="2" width="15" style="1" customWidth="1"/>
    <col min="3" max="3" width="22.5703125" style="1" customWidth="1"/>
    <col min="4" max="4" width="19" style="1" customWidth="1"/>
    <col min="5" max="5" width="10.42578125" style="1" bestFit="1" customWidth="1"/>
    <col min="6" max="6" width="16.85546875" style="1" customWidth="1"/>
    <col min="7" max="7" width="20.7109375" style="1" customWidth="1"/>
    <col min="8" max="8" width="7" style="1" bestFit="1" customWidth="1"/>
    <col min="9" max="9" width="18.85546875" style="1" customWidth="1"/>
    <col min="10" max="10" width="18.85546875" style="1" bestFit="1" customWidth="1"/>
    <col min="11" max="11" width="9" style="1" bestFit="1" customWidth="1"/>
    <col min="12" max="12" width="23.140625" style="1" bestFit="1" customWidth="1"/>
    <col min="13" max="13" width="13.85546875" style="1" bestFit="1" customWidth="1"/>
    <col min="14" max="14" width="8" style="1" bestFit="1" customWidth="1"/>
    <col min="15" max="15" width="7.28515625" style="1" bestFit="1" customWidth="1"/>
    <col min="16" max="16" width="11.5703125" style="1" bestFit="1" customWidth="1"/>
    <col min="17" max="16384" width="11.42578125" style="1"/>
  </cols>
  <sheetData>
    <row r="1" spans="1:7" ht="30" x14ac:dyDescent="0.4">
      <c r="A1" s="102" t="s">
        <v>68</v>
      </c>
    </row>
    <row r="2" spans="1:7" ht="15.75" x14ac:dyDescent="0.25">
      <c r="A2" s="104" t="s">
        <v>63</v>
      </c>
      <c r="B2" s="103" t="s">
        <v>64</v>
      </c>
      <c r="C2" s="103"/>
      <c r="D2" s="103"/>
      <c r="E2" s="103"/>
      <c r="F2" s="103"/>
    </row>
    <row r="3" spans="1:7" ht="15.75" x14ac:dyDescent="0.25">
      <c r="A3" s="103"/>
      <c r="B3" s="105" t="s">
        <v>65</v>
      </c>
      <c r="C3" s="103"/>
      <c r="D3" s="103"/>
      <c r="E3" s="103"/>
      <c r="F3" s="103"/>
    </row>
    <row r="4" spans="1:7" ht="15.75" x14ac:dyDescent="0.25">
      <c r="A4" s="103"/>
      <c r="B4" s="103"/>
      <c r="C4" s="103"/>
      <c r="D4" s="103"/>
      <c r="E4" s="103"/>
      <c r="F4" s="103"/>
    </row>
    <row r="5" spans="1:7" ht="15.75" x14ac:dyDescent="0.25">
      <c r="A5" s="103"/>
      <c r="B5" s="103" t="s">
        <v>69</v>
      </c>
      <c r="C5" s="103"/>
      <c r="D5" s="103"/>
      <c r="E5" s="103"/>
      <c r="F5" s="103"/>
    </row>
    <row r="6" spans="1:7" ht="15.75" x14ac:dyDescent="0.25">
      <c r="A6" s="103"/>
      <c r="B6" s="103" t="s">
        <v>66</v>
      </c>
      <c r="C6" s="103"/>
      <c r="D6" s="103"/>
      <c r="E6" s="103"/>
      <c r="F6" s="103"/>
    </row>
    <row r="7" spans="1:7" ht="15.75" x14ac:dyDescent="0.25">
      <c r="A7" s="103"/>
      <c r="B7" s="103" t="s">
        <v>67</v>
      </c>
      <c r="C7" s="103"/>
      <c r="D7" s="103"/>
      <c r="E7" s="103"/>
      <c r="F7" s="103"/>
    </row>
    <row r="8" spans="1:7" ht="14.25" x14ac:dyDescent="0.2">
      <c r="B8" s="38"/>
      <c r="C8" s="38"/>
      <c r="D8" s="38"/>
      <c r="E8" s="38"/>
      <c r="F8" s="38"/>
    </row>
    <row r="9" spans="1:7" ht="17.25" x14ac:dyDescent="0.3">
      <c r="A9" s="292" t="s">
        <v>186</v>
      </c>
      <c r="B9" s="292"/>
      <c r="C9" s="292"/>
    </row>
    <row r="11" spans="1:7" ht="23.25" x14ac:dyDescent="0.35">
      <c r="A11" s="101" t="s">
        <v>25</v>
      </c>
    </row>
    <row r="12" spans="1:7" ht="15.75" x14ac:dyDescent="0.25">
      <c r="C12" s="269" t="s">
        <v>0</v>
      </c>
      <c r="D12" s="269"/>
      <c r="E12" s="269"/>
      <c r="F12" s="269"/>
    </row>
    <row r="13" spans="1:7" ht="13.5" thickBot="1" x14ac:dyDescent="0.25"/>
    <row r="14" spans="1:7" s="65" customFormat="1" ht="27" customHeight="1" thickBot="1" x14ac:dyDescent="0.3">
      <c r="C14" s="43" t="s">
        <v>20</v>
      </c>
      <c r="D14" s="42" t="s">
        <v>5</v>
      </c>
      <c r="E14" s="270" t="s">
        <v>1</v>
      </c>
      <c r="F14" s="270"/>
      <c r="G14" s="66" t="s">
        <v>85</v>
      </c>
    </row>
    <row r="15" spans="1:7" ht="16.5" thickBot="1" x14ac:dyDescent="0.3">
      <c r="B15" s="3" t="s">
        <v>48</v>
      </c>
      <c r="C15" s="149">
        <v>9397658</v>
      </c>
      <c r="D15" s="4" t="s">
        <v>21</v>
      </c>
      <c r="E15" s="5">
        <v>0.38500000000000001</v>
      </c>
      <c r="F15" s="6" t="s">
        <v>2</v>
      </c>
      <c r="G15" s="49">
        <f>C15*E15/1000</f>
        <v>3618.0983300000003</v>
      </c>
    </row>
    <row r="16" spans="1:7" ht="16.5" thickBot="1" x14ac:dyDescent="0.3">
      <c r="B16" s="3" t="s">
        <v>49</v>
      </c>
      <c r="C16" s="48"/>
      <c r="D16" s="4" t="s">
        <v>21</v>
      </c>
      <c r="E16" s="5">
        <v>0.38500000000000001</v>
      </c>
      <c r="F16" s="6" t="s">
        <v>2</v>
      </c>
      <c r="G16" s="49">
        <f>C16*E16</f>
        <v>0</v>
      </c>
    </row>
    <row r="17" spans="2:11" x14ac:dyDescent="0.2">
      <c r="G17" s="55">
        <f>SUM(G15:G16)</f>
        <v>3618.0983300000003</v>
      </c>
    </row>
    <row r="18" spans="2:11" ht="15.75" x14ac:dyDescent="0.25">
      <c r="C18" s="269" t="s">
        <v>3</v>
      </c>
      <c r="D18" s="269"/>
      <c r="E18" s="269"/>
      <c r="F18" s="269"/>
      <c r="G18" s="55"/>
    </row>
    <row r="19" spans="2:11" ht="13.5" thickBot="1" x14ac:dyDescent="0.25"/>
    <row r="20" spans="2:11" s="46" customFormat="1" ht="30.75" customHeight="1" thickBot="1" x14ac:dyDescent="0.3">
      <c r="B20" s="59" t="s">
        <v>4</v>
      </c>
      <c r="C20" s="60" t="s">
        <v>20</v>
      </c>
      <c r="D20" s="62" t="s">
        <v>5</v>
      </c>
      <c r="E20" s="266" t="s">
        <v>7</v>
      </c>
      <c r="F20" s="271"/>
      <c r="G20" s="64" t="s">
        <v>21</v>
      </c>
      <c r="H20" s="266" t="s">
        <v>1</v>
      </c>
      <c r="I20" s="267"/>
      <c r="J20" s="66" t="s">
        <v>85</v>
      </c>
    </row>
    <row r="21" spans="2:11" ht="15.75" x14ac:dyDescent="0.25">
      <c r="B21" s="11" t="s">
        <v>8</v>
      </c>
      <c r="C21" s="86">
        <v>159042</v>
      </c>
      <c r="D21" s="13" t="s">
        <v>24</v>
      </c>
      <c r="E21" s="14">
        <v>10.7056</v>
      </c>
      <c r="F21" s="15" t="s">
        <v>27</v>
      </c>
      <c r="G21" s="87">
        <f>C21*E21</f>
        <v>1702640.0352</v>
      </c>
      <c r="H21" s="14">
        <v>0.2016</v>
      </c>
      <c r="I21" s="14" t="s">
        <v>2</v>
      </c>
      <c r="J21" s="88">
        <f>G21*H21/1000</f>
        <v>343.25223109632003</v>
      </c>
    </row>
    <row r="22" spans="2:11" ht="26.25" x14ac:dyDescent="0.25">
      <c r="B22" s="16" t="s">
        <v>26</v>
      </c>
      <c r="C22" s="86">
        <f>6459+12096+2500+12005+2813+14975+1003+2548</f>
        <v>54399</v>
      </c>
      <c r="D22" s="18" t="s">
        <v>9</v>
      </c>
      <c r="E22" s="19">
        <v>10.6</v>
      </c>
      <c r="F22" s="20" t="s">
        <v>10</v>
      </c>
      <c r="G22" s="87">
        <f t="shared" ref="G22:G26" si="0">C22*E22</f>
        <v>576629.4</v>
      </c>
      <c r="H22" s="19">
        <v>0.26279999999999998</v>
      </c>
      <c r="I22" s="19" t="s">
        <v>2</v>
      </c>
      <c r="J22" s="88">
        <f t="shared" ref="J22:J26" si="1">G22*H22/1000</f>
        <v>151.53820632</v>
      </c>
    </row>
    <row r="23" spans="2:11" ht="39" x14ac:dyDescent="0.25">
      <c r="B23" s="16" t="s">
        <v>30</v>
      </c>
      <c r="C23" s="146"/>
      <c r="D23" s="18" t="s">
        <v>11</v>
      </c>
      <c r="E23" s="19">
        <v>11.161099999999999</v>
      </c>
      <c r="F23" s="20" t="s">
        <v>12</v>
      </c>
      <c r="G23" s="87">
        <f t="shared" si="0"/>
        <v>0</v>
      </c>
      <c r="H23" s="19">
        <v>0</v>
      </c>
      <c r="I23" s="19" t="s">
        <v>2</v>
      </c>
      <c r="J23" s="88">
        <f t="shared" si="1"/>
        <v>0</v>
      </c>
    </row>
    <row r="24" spans="2:11" ht="15.75" x14ac:dyDescent="0.25">
      <c r="B24" s="16" t="s">
        <v>31</v>
      </c>
      <c r="C24" s="146"/>
      <c r="D24" s="18" t="s">
        <v>11</v>
      </c>
      <c r="E24" s="19">
        <v>12.6389</v>
      </c>
      <c r="F24" s="20" t="s">
        <v>12</v>
      </c>
      <c r="G24" s="87">
        <f t="shared" si="0"/>
        <v>0</v>
      </c>
      <c r="H24" s="19">
        <v>0.23400000000000001</v>
      </c>
      <c r="I24" s="19" t="s">
        <v>2</v>
      </c>
      <c r="J24" s="88">
        <f t="shared" si="1"/>
        <v>0</v>
      </c>
    </row>
    <row r="25" spans="2:11" ht="15.75" x14ac:dyDescent="0.25">
      <c r="B25" s="16" t="s">
        <v>28</v>
      </c>
      <c r="C25" s="146"/>
      <c r="D25" s="18" t="s">
        <v>11</v>
      </c>
      <c r="E25" s="19">
        <v>5.6971999999999996</v>
      </c>
      <c r="F25" s="20" t="s">
        <v>12</v>
      </c>
      <c r="G25" s="87">
        <f t="shared" si="0"/>
        <v>0</v>
      </c>
      <c r="H25" s="19">
        <v>0.4032</v>
      </c>
      <c r="I25" s="19" t="s">
        <v>2</v>
      </c>
      <c r="J25" s="88">
        <f t="shared" si="1"/>
        <v>0</v>
      </c>
    </row>
    <row r="26" spans="2:11" ht="26.25" x14ac:dyDescent="0.25">
      <c r="B26" s="16" t="s">
        <v>29</v>
      </c>
      <c r="C26" s="146"/>
      <c r="D26" s="18" t="s">
        <v>11</v>
      </c>
      <c r="E26" s="19">
        <v>7.0917000000000003</v>
      </c>
      <c r="F26" s="20" t="s">
        <v>12</v>
      </c>
      <c r="G26" s="87">
        <f t="shared" si="0"/>
        <v>0</v>
      </c>
      <c r="H26" s="19">
        <v>0</v>
      </c>
      <c r="I26" s="19" t="s">
        <v>2</v>
      </c>
      <c r="J26" s="88">
        <f t="shared" si="1"/>
        <v>0</v>
      </c>
    </row>
    <row r="27" spans="2:11" ht="16.5" thickBot="1" x14ac:dyDescent="0.3">
      <c r="B27" s="21"/>
      <c r="C27" s="147"/>
      <c r="D27" s="23"/>
      <c r="E27" s="24"/>
      <c r="F27" s="25"/>
      <c r="G27" s="93"/>
      <c r="H27" s="24"/>
      <c r="I27" s="24"/>
      <c r="J27" s="89">
        <f>SUM(J21:J26)</f>
        <v>494.79043741632006</v>
      </c>
    </row>
    <row r="28" spans="2:11" x14ac:dyDescent="0.2"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5.75" customHeight="1" x14ac:dyDescent="0.25">
      <c r="C29" s="269" t="s">
        <v>13</v>
      </c>
      <c r="D29" s="269"/>
      <c r="E29" s="269"/>
      <c r="F29" s="269"/>
      <c r="G29" s="26"/>
      <c r="H29" s="2" t="s">
        <v>81</v>
      </c>
      <c r="I29" s="26"/>
      <c r="J29" s="26"/>
      <c r="K29" s="26"/>
    </row>
    <row r="30" spans="2:11" ht="15.75" customHeight="1" thickBot="1" x14ac:dyDescent="0.3">
      <c r="C30" s="106"/>
      <c r="D30" s="106"/>
      <c r="E30" s="106"/>
      <c r="F30" s="106"/>
      <c r="G30" s="26"/>
      <c r="H30" s="2"/>
      <c r="I30" s="26"/>
      <c r="J30" s="26"/>
      <c r="K30" s="26"/>
    </row>
    <row r="31" spans="2:11" ht="39.75" customHeight="1" thickBot="1" x14ac:dyDescent="0.25">
      <c r="B31" s="27" t="s">
        <v>23</v>
      </c>
      <c r="C31" s="39" t="s">
        <v>20</v>
      </c>
      <c r="D31" s="42" t="s">
        <v>5</v>
      </c>
      <c r="E31" s="266" t="s">
        <v>6</v>
      </c>
      <c r="F31" s="271"/>
      <c r="G31" s="66" t="s">
        <v>85</v>
      </c>
      <c r="H31" s="26"/>
      <c r="I31" s="59"/>
      <c r="J31" s="60" t="s">
        <v>82</v>
      </c>
    </row>
    <row r="32" spans="2:11" ht="27" thickBot="1" x14ac:dyDescent="0.3">
      <c r="B32" s="28" t="s">
        <v>14</v>
      </c>
      <c r="C32" s="86"/>
      <c r="D32" s="29" t="s">
        <v>11</v>
      </c>
      <c r="E32" s="30">
        <v>3</v>
      </c>
      <c r="F32" s="14" t="s">
        <v>15</v>
      </c>
      <c r="G32" s="153">
        <f>C32*E32/1000</f>
        <v>0</v>
      </c>
      <c r="I32" s="11" t="s">
        <v>22</v>
      </c>
      <c r="J32" s="83">
        <v>1353342.7651569867</v>
      </c>
      <c r="K32" s="26"/>
    </row>
    <row r="33" spans="1:11" ht="26.25" customHeight="1" thickBot="1" x14ac:dyDescent="0.3">
      <c r="B33" s="32" t="s">
        <v>16</v>
      </c>
      <c r="C33" s="91"/>
      <c r="D33" s="33" t="s">
        <v>11</v>
      </c>
      <c r="E33" s="34">
        <v>1.8</v>
      </c>
      <c r="F33" s="19" t="s">
        <v>17</v>
      </c>
      <c r="G33" s="153">
        <f t="shared" ref="G33:G34" si="2">C33*E33/1000</f>
        <v>0</v>
      </c>
      <c r="I33" s="16" t="s">
        <v>8</v>
      </c>
      <c r="J33" s="83">
        <v>101174.32807056227</v>
      </c>
      <c r="K33" s="26"/>
    </row>
    <row r="34" spans="1:11" ht="27" thickBot="1" x14ac:dyDescent="0.3">
      <c r="B34" s="35" t="s">
        <v>18</v>
      </c>
      <c r="C34" s="22">
        <v>63633</v>
      </c>
      <c r="D34" s="36" t="s">
        <v>24</v>
      </c>
      <c r="E34" s="37">
        <v>0.78800000000000003</v>
      </c>
      <c r="F34" s="24" t="s">
        <v>19</v>
      </c>
      <c r="G34" s="153">
        <f t="shared" si="2"/>
        <v>50.142804000000005</v>
      </c>
      <c r="I34" s="16" t="s">
        <v>26</v>
      </c>
      <c r="J34" s="83">
        <f>6316.9+11793.6+2485+11560.82+2613.28+14031.58+956.89+2318.68</f>
        <v>52076.75</v>
      </c>
    </row>
    <row r="35" spans="1:11" ht="25.5" x14ac:dyDescent="0.2">
      <c r="I35" s="16" t="s">
        <v>30</v>
      </c>
      <c r="J35" s="83"/>
    </row>
    <row r="36" spans="1:11" x14ac:dyDescent="0.2">
      <c r="I36" s="84" t="s">
        <v>76</v>
      </c>
      <c r="J36" s="152">
        <f>SUM(J32:J35)</f>
        <v>1506593.843227549</v>
      </c>
    </row>
    <row r="37" spans="1:11" x14ac:dyDescent="0.2">
      <c r="I37" s="85" t="s">
        <v>18</v>
      </c>
      <c r="J37" s="83">
        <v>143342.18983215265</v>
      </c>
    </row>
    <row r="39" spans="1:11" ht="23.25" x14ac:dyDescent="0.35">
      <c r="A39" s="101" t="s">
        <v>105</v>
      </c>
    </row>
    <row r="40" spans="1:11" ht="14.25" x14ac:dyDescent="0.2">
      <c r="B40" s="38"/>
      <c r="C40" s="38"/>
      <c r="D40" s="38"/>
      <c r="E40" s="38"/>
      <c r="F40" s="38"/>
    </row>
    <row r="41" spans="1:11" ht="15.75" x14ac:dyDescent="0.25">
      <c r="C41" s="2" t="s">
        <v>32</v>
      </c>
      <c r="D41" s="2"/>
    </row>
    <row r="42" spans="1:11" ht="13.5" thickBot="1" x14ac:dyDescent="0.25"/>
    <row r="43" spans="1:11" ht="27" customHeight="1" thickBot="1" x14ac:dyDescent="0.25">
      <c r="C43" s="43" t="s">
        <v>20</v>
      </c>
      <c r="D43" s="42" t="s">
        <v>5</v>
      </c>
      <c r="E43" s="270" t="s">
        <v>34</v>
      </c>
      <c r="F43" s="270"/>
      <c r="G43" s="41" t="s">
        <v>35</v>
      </c>
    </row>
    <row r="44" spans="1:11" s="46" customFormat="1" ht="26.25" thickBot="1" x14ac:dyDescent="0.3">
      <c r="B44" s="50" t="s">
        <v>22</v>
      </c>
      <c r="C44" s="148">
        <f>$C$15</f>
        <v>9397658</v>
      </c>
      <c r="D44" s="51" t="s">
        <v>21</v>
      </c>
      <c r="E44" s="52">
        <v>2.403</v>
      </c>
      <c r="F44" s="53" t="s">
        <v>33</v>
      </c>
      <c r="G44" s="54">
        <f>C44*E44</f>
        <v>22582572.173999999</v>
      </c>
    </row>
    <row r="46" spans="1:11" ht="15.75" x14ac:dyDescent="0.25">
      <c r="C46" s="269"/>
      <c r="D46" s="269"/>
    </row>
    <row r="47" spans="1:11" ht="13.5" thickBot="1" x14ac:dyDescent="0.25"/>
    <row r="48" spans="1:11" ht="30.75" customHeight="1" thickBot="1" x14ac:dyDescent="0.25">
      <c r="B48" s="7" t="s">
        <v>4</v>
      </c>
      <c r="C48" s="8" t="s">
        <v>20</v>
      </c>
      <c r="D48" s="40" t="s">
        <v>5</v>
      </c>
      <c r="E48" s="274" t="s">
        <v>7</v>
      </c>
      <c r="F48" s="275"/>
      <c r="G48" s="10" t="s">
        <v>21</v>
      </c>
      <c r="H48" s="276" t="s">
        <v>34</v>
      </c>
      <c r="I48" s="276"/>
      <c r="J48" s="41" t="s">
        <v>35</v>
      </c>
    </row>
    <row r="49" spans="1:11" ht="27" thickBot="1" x14ac:dyDescent="0.3">
      <c r="B49" s="11" t="s">
        <v>8</v>
      </c>
      <c r="C49" s="145">
        <f t="shared" ref="C49:C54" si="3">C21</f>
        <v>159042</v>
      </c>
      <c r="D49" s="13" t="s">
        <v>24</v>
      </c>
      <c r="E49" s="14">
        <v>10.7056</v>
      </c>
      <c r="F49" s="15" t="s">
        <v>27</v>
      </c>
      <c r="G49" s="87">
        <f>C49*E49</f>
        <v>1702640.0352</v>
      </c>
      <c r="H49" s="14">
        <v>1.1950000000000001</v>
      </c>
      <c r="I49" s="6" t="s">
        <v>33</v>
      </c>
      <c r="J49" s="88">
        <f>G49*H49</f>
        <v>2034654.8420640002</v>
      </c>
    </row>
    <row r="50" spans="1:11" ht="27" thickBot="1" x14ac:dyDescent="0.3">
      <c r="B50" s="16" t="s">
        <v>26</v>
      </c>
      <c r="C50" s="146">
        <f t="shared" si="3"/>
        <v>54399</v>
      </c>
      <c r="D50" s="18" t="s">
        <v>9</v>
      </c>
      <c r="E50" s="19">
        <v>10.6</v>
      </c>
      <c r="F50" s="20" t="s">
        <v>10</v>
      </c>
      <c r="G50" s="87">
        <f t="shared" ref="G50:G54" si="4">C50*E50</f>
        <v>576629.4</v>
      </c>
      <c r="H50" s="19">
        <v>1.1819999999999999</v>
      </c>
      <c r="I50" s="6" t="s">
        <v>33</v>
      </c>
      <c r="J50" s="88">
        <f t="shared" ref="J50:J54" si="5">G50*H50</f>
        <v>681575.95079999999</v>
      </c>
    </row>
    <row r="51" spans="1:11" ht="39.75" thickBot="1" x14ac:dyDescent="0.3">
      <c r="B51" s="16" t="s">
        <v>30</v>
      </c>
      <c r="C51" s="146">
        <f t="shared" si="3"/>
        <v>0</v>
      </c>
      <c r="D51" s="18" t="s">
        <v>11</v>
      </c>
      <c r="E51" s="19">
        <v>11.161099999999999</v>
      </c>
      <c r="F51" s="20" t="s">
        <v>12</v>
      </c>
      <c r="G51" s="87">
        <f t="shared" si="4"/>
        <v>0</v>
      </c>
      <c r="H51" s="19">
        <v>1.113</v>
      </c>
      <c r="I51" s="6" t="s">
        <v>33</v>
      </c>
      <c r="J51" s="88">
        <f t="shared" si="5"/>
        <v>0</v>
      </c>
    </row>
    <row r="52" spans="1:11" ht="27" thickBot="1" x14ac:dyDescent="0.3">
      <c r="B52" s="16" t="s">
        <v>31</v>
      </c>
      <c r="C52" s="146">
        <f t="shared" si="3"/>
        <v>0</v>
      </c>
      <c r="D52" s="18" t="s">
        <v>11</v>
      </c>
      <c r="E52" s="19">
        <v>12.6389</v>
      </c>
      <c r="F52" s="20" t="s">
        <v>12</v>
      </c>
      <c r="G52" s="87">
        <f t="shared" si="4"/>
        <v>0</v>
      </c>
      <c r="H52" s="19">
        <v>1.204</v>
      </c>
      <c r="I52" s="6" t="s">
        <v>33</v>
      </c>
      <c r="J52" s="88">
        <f t="shared" si="5"/>
        <v>0</v>
      </c>
    </row>
    <row r="53" spans="1:11" ht="27" thickBot="1" x14ac:dyDescent="0.3">
      <c r="B53" s="16" t="s">
        <v>28</v>
      </c>
      <c r="C53" s="146">
        <f t="shared" si="3"/>
        <v>0</v>
      </c>
      <c r="D53" s="18" t="s">
        <v>11</v>
      </c>
      <c r="E53" s="19">
        <v>5.6971999999999996</v>
      </c>
      <c r="F53" s="20" t="s">
        <v>12</v>
      </c>
      <c r="G53" s="87">
        <f t="shared" si="4"/>
        <v>0</v>
      </c>
      <c r="H53" s="19">
        <v>1.0840000000000001</v>
      </c>
      <c r="I53" s="6" t="s">
        <v>33</v>
      </c>
      <c r="J53" s="88">
        <f t="shared" si="5"/>
        <v>0</v>
      </c>
    </row>
    <row r="54" spans="1:11" ht="27" thickBot="1" x14ac:dyDescent="0.3">
      <c r="B54" s="16" t="s">
        <v>29</v>
      </c>
      <c r="C54" s="146">
        <f t="shared" si="3"/>
        <v>0</v>
      </c>
      <c r="D54" s="18" t="s">
        <v>11</v>
      </c>
      <c r="E54" s="19">
        <v>7.0917000000000003</v>
      </c>
      <c r="F54" s="20" t="s">
        <v>12</v>
      </c>
      <c r="G54" s="87">
        <f t="shared" si="4"/>
        <v>0</v>
      </c>
      <c r="H54" s="19">
        <v>1.0369999999999999</v>
      </c>
      <c r="I54" s="6" t="s">
        <v>33</v>
      </c>
      <c r="J54" s="88">
        <f t="shared" si="5"/>
        <v>0</v>
      </c>
    </row>
    <row r="55" spans="1:11" ht="16.5" thickBot="1" x14ac:dyDescent="0.3">
      <c r="B55" s="21"/>
      <c r="C55" s="147"/>
      <c r="D55" s="23"/>
      <c r="E55" s="24"/>
      <c r="F55" s="25"/>
      <c r="G55" s="93">
        <f>SUM(G49:G54)</f>
        <v>2279269.4352000002</v>
      </c>
      <c r="H55" s="24"/>
      <c r="I55" s="24"/>
      <c r="J55" s="89">
        <f>SUM(J49:J54)</f>
        <v>2716230.7928640004</v>
      </c>
    </row>
    <row r="56" spans="1:11" x14ac:dyDescent="0.2">
      <c r="C56" s="26"/>
      <c r="D56" s="26"/>
      <c r="E56" s="26"/>
      <c r="F56" s="26"/>
      <c r="G56" s="26"/>
      <c r="H56" s="26"/>
      <c r="I56" s="26"/>
      <c r="J56" s="26"/>
      <c r="K56" s="26"/>
    </row>
    <row r="57" spans="1:11" ht="18.75" x14ac:dyDescent="0.3">
      <c r="A57" s="100" t="s">
        <v>136</v>
      </c>
      <c r="H57" s="26"/>
      <c r="I57" s="26"/>
      <c r="J57" s="26"/>
      <c r="K57" s="26"/>
    </row>
    <row r="58" spans="1:11" ht="15.75" x14ac:dyDescent="0.25">
      <c r="C58" s="2" t="s">
        <v>0</v>
      </c>
      <c r="D58" s="2"/>
      <c r="H58" s="26"/>
      <c r="I58" s="26"/>
      <c r="J58" s="26"/>
      <c r="K58" s="26"/>
    </row>
    <row r="59" spans="1:11" ht="13.5" thickBot="1" x14ac:dyDescent="0.25">
      <c r="H59" s="26"/>
      <c r="I59" s="26"/>
      <c r="J59" s="26"/>
      <c r="K59" s="26"/>
    </row>
    <row r="60" spans="1:11" ht="31.5" customHeight="1" thickBot="1" x14ac:dyDescent="0.25">
      <c r="A60" s="65"/>
      <c r="B60" s="65"/>
      <c r="C60" s="43" t="s">
        <v>107</v>
      </c>
      <c r="D60" s="42" t="s">
        <v>5</v>
      </c>
      <c r="E60" s="270" t="s">
        <v>134</v>
      </c>
      <c r="F60" s="270"/>
      <c r="G60" s="66" t="s">
        <v>182</v>
      </c>
      <c r="H60" s="26"/>
      <c r="I60" s="26"/>
      <c r="J60" s="26"/>
      <c r="K60" s="26"/>
    </row>
    <row r="61" spans="1:11" ht="16.5" thickBot="1" x14ac:dyDescent="0.3">
      <c r="B61" s="278" t="s">
        <v>22</v>
      </c>
      <c r="C61" s="281">
        <v>97368</v>
      </c>
      <c r="D61" s="284" t="s">
        <v>21</v>
      </c>
      <c r="E61" s="5">
        <v>0.35699999999999998</v>
      </c>
      <c r="F61" s="6" t="s">
        <v>2</v>
      </c>
      <c r="G61" s="109">
        <f>-(C61*E61/1000)</f>
        <v>-34.760375999999994</v>
      </c>
      <c r="H61" s="26"/>
      <c r="I61" s="26"/>
      <c r="J61" s="26"/>
      <c r="K61" s="26"/>
    </row>
    <row r="62" spans="1:11" ht="16.5" thickBot="1" x14ac:dyDescent="0.3">
      <c r="B62" s="279"/>
      <c r="C62" s="282"/>
      <c r="D62" s="285"/>
      <c r="E62" s="5">
        <v>0.36659999999999998</v>
      </c>
      <c r="F62" s="6" t="s">
        <v>133</v>
      </c>
      <c r="G62" s="110">
        <f>-(C61*E62/1000)/1000</f>
        <v>-3.56951088E-2</v>
      </c>
      <c r="H62" s="26"/>
      <c r="I62" s="26"/>
      <c r="J62" s="26"/>
      <c r="K62" s="26"/>
    </row>
    <row r="63" spans="1:11" ht="16.5" thickBot="1" x14ac:dyDescent="0.3">
      <c r="B63" s="280"/>
      <c r="C63" s="283"/>
      <c r="D63" s="286"/>
      <c r="E63" s="5">
        <v>0.26100000000000001</v>
      </c>
      <c r="F63" s="6" t="s">
        <v>137</v>
      </c>
      <c r="G63" s="110">
        <f>-(C61*E63/1000)/1000</f>
        <v>-2.5413048000000004E-2</v>
      </c>
      <c r="H63" s="26"/>
      <c r="I63" s="26"/>
      <c r="J63" s="26"/>
      <c r="K63" s="26"/>
    </row>
    <row r="64" spans="1:11" x14ac:dyDescent="0.2">
      <c r="C64" s="26"/>
      <c r="D64" s="26"/>
      <c r="E64" s="26"/>
      <c r="F64" s="26"/>
      <c r="G64" s="26" t="s">
        <v>106</v>
      </c>
      <c r="H64" s="26"/>
      <c r="I64" s="26"/>
      <c r="J64" s="26"/>
      <c r="K64" s="26"/>
    </row>
    <row r="65" spans="1:19" ht="23.25" x14ac:dyDescent="0.35">
      <c r="A65" s="101" t="s">
        <v>152</v>
      </c>
      <c r="C65" s="26"/>
      <c r="D65" s="26"/>
      <c r="E65" s="26"/>
      <c r="F65" s="26"/>
      <c r="G65" s="26"/>
      <c r="H65" s="26"/>
      <c r="I65" s="26"/>
      <c r="J65" s="26"/>
      <c r="K65" s="26"/>
    </row>
    <row r="66" spans="1:19" ht="15.75" x14ac:dyDescent="0.25">
      <c r="B66" s="2" t="s">
        <v>130</v>
      </c>
      <c r="C66" s="26"/>
      <c r="D66" s="26"/>
      <c r="E66" s="26"/>
      <c r="F66" s="26"/>
      <c r="G66" s="26"/>
      <c r="H66" s="26"/>
      <c r="I66" s="26"/>
      <c r="J66" s="26"/>
      <c r="K66" s="26"/>
    </row>
    <row r="67" spans="1:19" ht="25.5" x14ac:dyDescent="0.2">
      <c r="A67" s="135" t="s">
        <v>146</v>
      </c>
      <c r="B67" s="136" t="s">
        <v>36</v>
      </c>
      <c r="C67" s="137"/>
      <c r="D67" s="74">
        <f>G44+J55</f>
        <v>25298802.966863997</v>
      </c>
      <c r="E67" s="82" t="s">
        <v>21</v>
      </c>
      <c r="F67" s="67" t="s">
        <v>45</v>
      </c>
      <c r="G67" s="73">
        <v>162275.76</v>
      </c>
      <c r="H67" s="44" t="s">
        <v>75</v>
      </c>
      <c r="I67" s="26"/>
      <c r="P67" s="272" t="s">
        <v>58</v>
      </c>
      <c r="Q67" s="272"/>
      <c r="R67" s="272"/>
      <c r="S67" s="75" t="s">
        <v>80</v>
      </c>
    </row>
    <row r="68" spans="1:19" ht="25.5" x14ac:dyDescent="0.2">
      <c r="A68" s="135" t="s">
        <v>147</v>
      </c>
      <c r="B68" s="136" t="s">
        <v>37</v>
      </c>
      <c r="C68" s="138"/>
      <c r="D68" s="74">
        <f>C44+G55</f>
        <v>11676927.4352</v>
      </c>
      <c r="E68" s="77" t="s">
        <v>21</v>
      </c>
      <c r="F68" s="67" t="s">
        <v>41</v>
      </c>
      <c r="G68" s="78">
        <f>$F$78</f>
        <v>1451</v>
      </c>
      <c r="P68" s="68" t="s">
        <v>59</v>
      </c>
      <c r="Q68" s="47" t="s">
        <v>43</v>
      </c>
      <c r="R68" s="69">
        <v>3425</v>
      </c>
      <c r="S68" s="76" t="e">
        <f>(R68-#REF!)/#REF!</f>
        <v>#REF!</v>
      </c>
    </row>
    <row r="69" spans="1:19" ht="25.5" x14ac:dyDescent="0.2">
      <c r="A69" s="135" t="s">
        <v>148</v>
      </c>
      <c r="B69" s="136" t="s">
        <v>38</v>
      </c>
      <c r="C69" s="138"/>
      <c r="D69" s="74">
        <f>G15+J27</f>
        <v>4112.8887674163207</v>
      </c>
      <c r="E69" s="77" t="s">
        <v>88</v>
      </c>
      <c r="F69" s="67" t="s">
        <v>42</v>
      </c>
      <c r="G69" s="78">
        <f>$C$79</f>
        <v>16097</v>
      </c>
      <c r="P69" s="70" t="s">
        <v>60</v>
      </c>
      <c r="Q69" s="47" t="s">
        <v>61</v>
      </c>
      <c r="R69" s="71">
        <v>68</v>
      </c>
      <c r="S69" s="76" t="e">
        <f>(R69-#REF!)/#REF!</f>
        <v>#REF!</v>
      </c>
    </row>
    <row r="70" spans="1:19" ht="38.25" x14ac:dyDescent="0.2">
      <c r="A70" s="135" t="s">
        <v>149</v>
      </c>
      <c r="B70" s="136" t="s">
        <v>39</v>
      </c>
      <c r="C70" s="138"/>
      <c r="D70" s="74">
        <f>D68*0.366/1000</f>
        <v>4273.7554412831996</v>
      </c>
      <c r="E70" s="77" t="s">
        <v>89</v>
      </c>
      <c r="F70" s="140" t="s">
        <v>169</v>
      </c>
      <c r="G70" s="80">
        <f>G68+G69</f>
        <v>17548</v>
      </c>
      <c r="P70" s="47"/>
      <c r="Q70" s="47" t="s">
        <v>62</v>
      </c>
      <c r="R70" s="71">
        <v>1757</v>
      </c>
      <c r="S70" s="76" t="e">
        <f>(R70-#REF!)/#REF!</f>
        <v>#REF!</v>
      </c>
    </row>
    <row r="71" spans="1:19" ht="15" x14ac:dyDescent="0.2">
      <c r="A71" s="135" t="s">
        <v>150</v>
      </c>
      <c r="B71" s="136" t="s">
        <v>40</v>
      </c>
      <c r="C71" s="138"/>
      <c r="D71" s="74">
        <f>D68*0.261/1000</f>
        <v>3047.6780605872004</v>
      </c>
      <c r="E71" s="77" t="s">
        <v>89</v>
      </c>
      <c r="F71" s="72"/>
      <c r="G71" s="72"/>
    </row>
    <row r="72" spans="1:19" ht="27.75" customHeight="1" x14ac:dyDescent="0.25">
      <c r="A72" s="135" t="s">
        <v>151</v>
      </c>
      <c r="B72" s="273" t="s">
        <v>138</v>
      </c>
      <c r="C72" s="273"/>
      <c r="D72" s="74">
        <v>116572</v>
      </c>
      <c r="E72" s="67" t="s">
        <v>21</v>
      </c>
      <c r="F72"/>
      <c r="G72"/>
      <c r="H72"/>
      <c r="I72"/>
      <c r="J72"/>
    </row>
    <row r="73" spans="1:19" ht="15.75" x14ac:dyDescent="0.2">
      <c r="A73" s="108"/>
      <c r="B73" s="107"/>
      <c r="D73" s="74"/>
      <c r="E73" s="67"/>
    </row>
    <row r="74" spans="1:19" ht="22.5" x14ac:dyDescent="0.2">
      <c r="B74" s="287" t="s">
        <v>50</v>
      </c>
      <c r="C74" s="287"/>
      <c r="D74" s="75" t="s">
        <v>153</v>
      </c>
      <c r="E74" s="288" t="s">
        <v>54</v>
      </c>
      <c r="F74" s="288"/>
      <c r="G74" s="75" t="s">
        <v>153</v>
      </c>
    </row>
    <row r="75" spans="1:19" x14ac:dyDescent="0.2">
      <c r="B75" s="47" t="s">
        <v>179</v>
      </c>
      <c r="C75" s="78">
        <v>14938</v>
      </c>
      <c r="D75" s="160">
        <f>(C75-'2012'!C75)/'2012'!C75</f>
        <v>-2.4170368434805332E-2</v>
      </c>
      <c r="E75" s="47" t="s">
        <v>55</v>
      </c>
      <c r="F75" s="78">
        <v>902</v>
      </c>
      <c r="G75" s="160">
        <f>(F75-'2012'!F75)/'2012'!F75</f>
        <v>-1.0964912280701754E-2</v>
      </c>
      <c r="K75" s="56"/>
    </row>
    <row r="76" spans="1:19" x14ac:dyDescent="0.2">
      <c r="B76" s="47" t="s">
        <v>51</v>
      </c>
      <c r="C76" s="78">
        <v>190</v>
      </c>
      <c r="D76" s="160">
        <f>(C76-'2012'!C76)/'2012'!C76</f>
        <v>-0.62745098039215685</v>
      </c>
      <c r="E76" s="47" t="s">
        <v>57</v>
      </c>
      <c r="F76" s="78">
        <v>81</v>
      </c>
      <c r="G76" s="160">
        <f>(F76-'2012'!F76)/'2012'!F76</f>
        <v>-0.22857142857142856</v>
      </c>
    </row>
    <row r="77" spans="1:19" x14ac:dyDescent="0.2">
      <c r="B77" s="47" t="s">
        <v>52</v>
      </c>
      <c r="C77" s="78">
        <v>969</v>
      </c>
      <c r="D77" s="160">
        <f>(C77-'2012'!C77)/'2012'!C77</f>
        <v>0.12543554006968641</v>
      </c>
      <c r="E77" s="47" t="s">
        <v>56</v>
      </c>
      <c r="F77" s="78">
        <v>468</v>
      </c>
      <c r="G77" s="160">
        <f>(F77-'2012'!F77)/'2012'!F77</f>
        <v>6.4516129032258064E-3</v>
      </c>
    </row>
    <row r="78" spans="1:19" x14ac:dyDescent="0.2">
      <c r="B78" s="47" t="s">
        <v>53</v>
      </c>
      <c r="C78" s="78"/>
      <c r="D78" s="160"/>
      <c r="E78" s="79" t="s">
        <v>76</v>
      </c>
      <c r="F78" s="80">
        <f>SUM(F75:F77)</f>
        <v>1451</v>
      </c>
      <c r="G78" s="160">
        <f>(F78-'2012'!F78)/'2012'!F78</f>
        <v>-2.0917678812415654E-2</v>
      </c>
    </row>
    <row r="79" spans="1:19" x14ac:dyDescent="0.2">
      <c r="B79" s="79" t="s">
        <v>76</v>
      </c>
      <c r="C79" s="80">
        <f>SUM(C75:C78)</f>
        <v>16097</v>
      </c>
      <c r="D79" s="160">
        <f>(C79-'2012'!C79)/'2012'!C79</f>
        <v>-3.489417830805204E-2</v>
      </c>
      <c r="G79" s="76"/>
    </row>
    <row r="80" spans="1:19" ht="13.5" customHeight="1" x14ac:dyDescent="0.2"/>
    <row r="81" spans="2:7" ht="13.5" customHeight="1" x14ac:dyDescent="0.2">
      <c r="B81" s="79"/>
      <c r="C81" s="80"/>
      <c r="D81" s="76"/>
    </row>
    <row r="82" spans="2:7" ht="13.5" customHeight="1" x14ac:dyDescent="0.25">
      <c r="B82" s="2" t="s">
        <v>131</v>
      </c>
      <c r="C82" s="80"/>
      <c r="D82" s="76"/>
    </row>
    <row r="83" spans="2:7" ht="13.5" customHeight="1" x14ac:dyDescent="0.25">
      <c r="B83" s="2"/>
      <c r="C83" s="80"/>
      <c r="D83" s="76"/>
    </row>
    <row r="84" spans="2:7" ht="30.75" thickBot="1" x14ac:dyDescent="0.35">
      <c r="B84" s="139" t="s">
        <v>154</v>
      </c>
      <c r="C84" s="96" t="s">
        <v>44</v>
      </c>
      <c r="D84" s="96"/>
      <c r="E84" s="96"/>
      <c r="F84" s="96"/>
      <c r="G84" s="81" t="s">
        <v>153</v>
      </c>
    </row>
    <row r="85" spans="2:7" ht="30.75" customHeight="1" thickTop="1" x14ac:dyDescent="0.2">
      <c r="B85" s="123" t="s">
        <v>44</v>
      </c>
      <c r="C85" s="277" t="s">
        <v>78</v>
      </c>
      <c r="D85" s="277"/>
      <c r="E85" s="121">
        <f>IF(D68=0,0,D68/$G$67)</f>
        <v>71.957311647777829</v>
      </c>
      <c r="F85" s="114" t="s">
        <v>70</v>
      </c>
      <c r="G85" s="160">
        <f>(E85-'2012'!E85)/'2012'!E85</f>
        <v>6.851711028501245E-2</v>
      </c>
    </row>
    <row r="86" spans="2:7" ht="15.75" customHeight="1" thickBot="1" x14ac:dyDescent="0.3">
      <c r="B86" s="122"/>
      <c r="C86" s="96" t="s">
        <v>46</v>
      </c>
      <c r="D86" s="96"/>
      <c r="E86" s="96"/>
      <c r="F86" s="96"/>
      <c r="G86" s="142"/>
    </row>
    <row r="87" spans="2:7" ht="26.25" customHeight="1" thickTop="1" x14ac:dyDescent="0.2">
      <c r="B87" s="124" t="s">
        <v>46</v>
      </c>
      <c r="C87" s="277" t="s">
        <v>79</v>
      </c>
      <c r="D87" s="277"/>
      <c r="E87" s="121">
        <f>IF(D67=0,0,D67/$G$67)</f>
        <v>155.90007384259977</v>
      </c>
      <c r="F87" s="114" t="s">
        <v>70</v>
      </c>
      <c r="G87" s="160">
        <f>(E87-'2012'!E87)/'2012'!E87</f>
        <v>2.2787758932768368E-2</v>
      </c>
    </row>
    <row r="88" spans="2:7" ht="15.75" customHeight="1" thickBot="1" x14ac:dyDescent="0.3">
      <c r="B88" s="97"/>
      <c r="C88" s="96" t="s">
        <v>47</v>
      </c>
      <c r="D88" s="96"/>
      <c r="E88" s="96"/>
      <c r="F88" s="96"/>
      <c r="G88" s="142"/>
    </row>
    <row r="89" spans="2:7" ht="30.75" customHeight="1" thickTop="1" x14ac:dyDescent="0.2">
      <c r="B89" s="125" t="s">
        <v>108</v>
      </c>
      <c r="C89" s="277" t="s">
        <v>156</v>
      </c>
      <c r="D89" s="277"/>
      <c r="E89" s="120">
        <f>IF(D68=0,0,D68/F78)</f>
        <v>8047.503401240524</v>
      </c>
      <c r="F89" s="114" t="s">
        <v>165</v>
      </c>
      <c r="G89" s="160">
        <f>(E89-'2012'!E89)/'2012'!E89</f>
        <v>9.1345525459950727E-2</v>
      </c>
    </row>
    <row r="90" spans="2:7" ht="26.25" customHeight="1" x14ac:dyDescent="0.2">
      <c r="B90" s="126" t="s">
        <v>109</v>
      </c>
      <c r="C90" s="277" t="s">
        <v>157</v>
      </c>
      <c r="D90" s="277"/>
      <c r="E90" s="121">
        <f>IF(D68=0,0,D68/G70)</f>
        <v>665.42782284020973</v>
      </c>
      <c r="F90" s="114" t="s">
        <v>101</v>
      </c>
      <c r="G90" s="141"/>
    </row>
    <row r="91" spans="2:7" ht="15.75" thickBot="1" x14ac:dyDescent="0.3">
      <c r="B91" s="97"/>
      <c r="C91" s="96" t="s">
        <v>90</v>
      </c>
      <c r="D91" s="96"/>
      <c r="E91" s="96"/>
      <c r="F91" s="96"/>
      <c r="G91" s="142"/>
    </row>
    <row r="92" spans="2:7" ht="30.75" customHeight="1" thickTop="1" x14ac:dyDescent="0.2">
      <c r="B92" s="127" t="s">
        <v>90</v>
      </c>
      <c r="C92" s="289" t="s">
        <v>72</v>
      </c>
      <c r="D92" s="289"/>
      <c r="E92" s="116">
        <f>IF(D69=0,0,D69/$G$67)</f>
        <v>2.5345059344761785E-2</v>
      </c>
      <c r="F92" s="117" t="s">
        <v>87</v>
      </c>
      <c r="G92" s="160">
        <f>(E92-'2012'!E92)/'2012'!E92</f>
        <v>3.0796562624923186E-2</v>
      </c>
    </row>
    <row r="93" spans="2:7" ht="25.5" customHeight="1" thickBot="1" x14ac:dyDescent="0.3">
      <c r="B93" s="122"/>
      <c r="C93" s="96" t="s">
        <v>91</v>
      </c>
      <c r="D93" s="96"/>
      <c r="E93" s="96"/>
      <c r="F93" s="96"/>
      <c r="G93" s="142"/>
    </row>
    <row r="94" spans="2:7" ht="15.75" customHeight="1" thickTop="1" x14ac:dyDescent="0.2">
      <c r="B94" s="127" t="s">
        <v>91</v>
      </c>
      <c r="C94" s="289" t="s">
        <v>73</v>
      </c>
      <c r="D94" s="289"/>
      <c r="E94" s="116">
        <f>IF(D70=0,0,D70/$G$67)</f>
        <v>2.6336376063086683E-2</v>
      </c>
      <c r="F94" s="117" t="s">
        <v>71</v>
      </c>
      <c r="G94" s="160">
        <f>(E94-'2012'!E94)/'2012'!E94</f>
        <v>6.851711028501252E-2</v>
      </c>
    </row>
    <row r="95" spans="2:7" ht="13.5" customHeight="1" thickBot="1" x14ac:dyDescent="0.3">
      <c r="B95" s="122"/>
      <c r="C95" s="96" t="s">
        <v>92</v>
      </c>
      <c r="D95" s="96"/>
      <c r="E95" s="96"/>
      <c r="F95" s="96"/>
      <c r="G95" s="142"/>
    </row>
    <row r="96" spans="2:7" ht="29.25" customHeight="1" thickTop="1" x14ac:dyDescent="0.2">
      <c r="B96" s="127" t="s">
        <v>92</v>
      </c>
      <c r="C96" s="289" t="s">
        <v>74</v>
      </c>
      <c r="D96" s="289"/>
      <c r="E96" s="116">
        <f>IF(D71=0,0,D71/$G$67)</f>
        <v>1.8780858340070015E-2</v>
      </c>
      <c r="F96" s="117" t="s">
        <v>71</v>
      </c>
      <c r="G96" s="160">
        <f>(E96-'2012'!E96)/'2012'!E96</f>
        <v>6.8517110285012672E-2</v>
      </c>
    </row>
    <row r="97" spans="2:8" ht="15.75" thickBot="1" x14ac:dyDescent="0.3">
      <c r="B97" s="122"/>
      <c r="C97" s="96" t="s">
        <v>93</v>
      </c>
      <c r="D97" s="96"/>
      <c r="E97" s="96"/>
      <c r="F97" s="96"/>
      <c r="G97" s="142"/>
    </row>
    <row r="98" spans="2:8" ht="13.5" customHeight="1" thickTop="1" x14ac:dyDescent="0.2">
      <c r="B98" s="128" t="s">
        <v>110</v>
      </c>
      <c r="C98" s="289" t="s">
        <v>158</v>
      </c>
      <c r="D98" s="289"/>
      <c r="E98" s="116">
        <f>IF(D69=0,0,D69/$F$78)</f>
        <v>2.8345201705143492</v>
      </c>
      <c r="F98" s="117" t="s">
        <v>166</v>
      </c>
      <c r="G98" s="160">
        <f>(E98-'2012'!E98)/'2012'!E98</f>
        <v>5.2819094286792656E-2</v>
      </c>
      <c r="H98" s="99"/>
    </row>
    <row r="99" spans="2:8" ht="28.5" customHeight="1" x14ac:dyDescent="0.2">
      <c r="B99" s="129" t="s">
        <v>111</v>
      </c>
      <c r="C99" s="289" t="s">
        <v>159</v>
      </c>
      <c r="D99" s="289"/>
      <c r="E99" s="116">
        <f>D69/$G$70</f>
        <v>0.23437934621702305</v>
      </c>
      <c r="F99" s="117" t="s">
        <v>86</v>
      </c>
      <c r="G99" s="141"/>
      <c r="H99" s="95"/>
    </row>
    <row r="100" spans="2:8" ht="15.75" thickBot="1" x14ac:dyDescent="0.3">
      <c r="B100" s="122"/>
      <c r="C100" s="96" t="s">
        <v>94</v>
      </c>
      <c r="D100" s="96"/>
      <c r="E100" s="96"/>
      <c r="F100" s="96"/>
      <c r="G100" s="142"/>
    </row>
    <row r="101" spans="2:8" ht="13.5" customHeight="1" thickTop="1" x14ac:dyDescent="0.2">
      <c r="B101" s="128" t="s">
        <v>112</v>
      </c>
      <c r="C101" s="289" t="s">
        <v>160</v>
      </c>
      <c r="D101" s="289"/>
      <c r="E101" s="116">
        <f>IF(D70=0,0,D70/$F$78)</f>
        <v>2.9453862448540313</v>
      </c>
      <c r="F101" s="117" t="s">
        <v>167</v>
      </c>
      <c r="G101" s="160">
        <f>(E101-'2012'!E101)/'2012'!E101</f>
        <v>9.1345525459950616E-2</v>
      </c>
    </row>
    <row r="102" spans="2:8" ht="26.25" customHeight="1" x14ac:dyDescent="0.2">
      <c r="B102" s="129" t="s">
        <v>113</v>
      </c>
      <c r="C102" s="289" t="s">
        <v>164</v>
      </c>
      <c r="D102" s="289"/>
      <c r="E102" s="116">
        <f>D70/$G$70</f>
        <v>0.24354658315951674</v>
      </c>
      <c r="F102" s="117" t="s">
        <v>77</v>
      </c>
      <c r="G102" s="141"/>
    </row>
    <row r="103" spans="2:8" ht="13.5" customHeight="1" thickBot="1" x14ac:dyDescent="0.3">
      <c r="B103" s="122"/>
      <c r="C103" s="96" t="s">
        <v>95</v>
      </c>
      <c r="D103" s="96"/>
      <c r="E103" s="96"/>
      <c r="F103" s="96"/>
      <c r="G103" s="142"/>
    </row>
    <row r="104" spans="2:8" ht="33.75" customHeight="1" thickTop="1" x14ac:dyDescent="0.2">
      <c r="B104" s="128" t="s">
        <v>114</v>
      </c>
      <c r="C104" s="289" t="s">
        <v>161</v>
      </c>
      <c r="D104" s="289"/>
      <c r="E104" s="116">
        <f>IF(D71=0,0,D71/$F$78)</f>
        <v>2.1003983877237768</v>
      </c>
      <c r="F104" s="117" t="s">
        <v>167</v>
      </c>
      <c r="G104" s="160">
        <f>(E104-'2012'!E104)/'2012'!E104</f>
        <v>9.1345525459950921E-2</v>
      </c>
    </row>
    <row r="105" spans="2:8" ht="29.25" customHeight="1" x14ac:dyDescent="0.2">
      <c r="B105" s="129" t="s">
        <v>115</v>
      </c>
      <c r="C105" s="289" t="s">
        <v>162</v>
      </c>
      <c r="D105" s="289"/>
      <c r="E105" s="116">
        <f>D71/G70</f>
        <v>0.17367666176129476</v>
      </c>
      <c r="F105" s="117" t="s">
        <v>77</v>
      </c>
      <c r="G105" s="143"/>
    </row>
    <row r="106" spans="2:8" ht="15.75" thickBot="1" x14ac:dyDescent="0.3">
      <c r="B106" s="122"/>
      <c r="C106" s="96" t="s">
        <v>96</v>
      </c>
      <c r="D106" s="96"/>
      <c r="E106" s="96"/>
      <c r="F106" s="96"/>
      <c r="G106" s="142"/>
    </row>
    <row r="107" spans="2:8" ht="30" customHeight="1" thickTop="1" x14ac:dyDescent="0.2">
      <c r="B107" s="124" t="s">
        <v>96</v>
      </c>
      <c r="C107" s="277" t="s">
        <v>99</v>
      </c>
      <c r="D107" s="277"/>
      <c r="E107" s="113">
        <f>IF(C34=0,0,C34/G67)*1000</f>
        <v>392.12880592887069</v>
      </c>
      <c r="F107" s="114" t="s">
        <v>100</v>
      </c>
      <c r="G107" s="160">
        <f>(E107-'2012'!E107)/'2012'!E107</f>
        <v>-0.17632515694777032</v>
      </c>
    </row>
    <row r="108" spans="2:8" ht="15.75" thickBot="1" x14ac:dyDescent="0.3">
      <c r="B108" s="122"/>
      <c r="C108" s="96" t="s">
        <v>97</v>
      </c>
      <c r="D108" s="96"/>
      <c r="E108" s="96"/>
      <c r="F108" s="96"/>
      <c r="G108" s="142"/>
    </row>
    <row r="109" spans="2:8" ht="15.75" thickTop="1" x14ac:dyDescent="0.2">
      <c r="B109" s="125" t="s">
        <v>142</v>
      </c>
      <c r="C109" s="277" t="s">
        <v>155</v>
      </c>
      <c r="D109" s="277"/>
      <c r="E109" s="113">
        <f>C34/F78</f>
        <v>43.854583046175051</v>
      </c>
      <c r="F109" s="114" t="s">
        <v>170</v>
      </c>
      <c r="G109" s="160">
        <f>(E109-'2012'!E109)/'2012'!E109</f>
        <v>-0.1587276930369371</v>
      </c>
    </row>
    <row r="110" spans="2:8" ht="33" customHeight="1" x14ac:dyDescent="0.2">
      <c r="B110" s="126" t="s">
        <v>143</v>
      </c>
      <c r="C110" s="277" t="s">
        <v>163</v>
      </c>
      <c r="D110" s="277"/>
      <c r="E110" s="113">
        <f>C34/G70</f>
        <v>3.6262252108502393</v>
      </c>
      <c r="F110" s="114" t="s">
        <v>183</v>
      </c>
      <c r="G110" s="144"/>
    </row>
    <row r="111" spans="2:8" ht="18" customHeight="1" thickBot="1" x14ac:dyDescent="0.3">
      <c r="B111" s="122"/>
      <c r="C111" s="96" t="s">
        <v>98</v>
      </c>
      <c r="D111" s="96"/>
      <c r="E111" s="96"/>
      <c r="F111" s="96"/>
      <c r="G111" s="142"/>
    </row>
    <row r="112" spans="2:8" ht="22.5" customHeight="1" thickTop="1" x14ac:dyDescent="0.2">
      <c r="B112" s="130" t="s">
        <v>98</v>
      </c>
      <c r="C112" s="291" t="s">
        <v>132</v>
      </c>
      <c r="D112" s="291"/>
      <c r="E112" s="151">
        <f>J36/G67</f>
        <v>9.2841582946679715</v>
      </c>
      <c r="F112" s="119" t="s">
        <v>171</v>
      </c>
      <c r="G112" s="160">
        <f>(E112-'2012'!E112)/'2012'!E112</f>
        <v>-8.5721216227426872E-2</v>
      </c>
    </row>
    <row r="113" spans="2:7" ht="15.75" thickBot="1" x14ac:dyDescent="0.3">
      <c r="B113" s="122"/>
      <c r="C113" s="96" t="s">
        <v>102</v>
      </c>
      <c r="D113" s="96"/>
      <c r="E113" s="96"/>
      <c r="F113" s="96"/>
      <c r="G113" s="142"/>
    </row>
    <row r="114" spans="2:7" ht="19.5" customHeight="1" thickTop="1" x14ac:dyDescent="0.2">
      <c r="B114" s="130" t="s">
        <v>102</v>
      </c>
      <c r="C114" s="291" t="s">
        <v>172</v>
      </c>
      <c r="D114" s="291"/>
      <c r="E114" s="151">
        <f>J37/G67</f>
        <v>0.88332471733395457</v>
      </c>
      <c r="F114" s="119" t="s">
        <v>83</v>
      </c>
      <c r="G114" s="160">
        <f>(E114-'2012'!E114)/'2012'!E114</f>
        <v>-9.9486741886335606E-2</v>
      </c>
    </row>
    <row r="115" spans="2:7" ht="12.75" customHeight="1" thickBot="1" x14ac:dyDescent="0.3">
      <c r="B115" s="122"/>
      <c r="C115" s="96" t="s">
        <v>103</v>
      </c>
      <c r="D115" s="96"/>
      <c r="E115" s="96"/>
      <c r="F115" s="96"/>
      <c r="G115" s="142"/>
    </row>
    <row r="116" spans="2:7" ht="30" customHeight="1" thickTop="1" x14ac:dyDescent="0.2">
      <c r="B116" s="131" t="s">
        <v>177</v>
      </c>
      <c r="C116" s="291" t="s">
        <v>173</v>
      </c>
      <c r="D116" s="291"/>
      <c r="E116" s="151">
        <f>J36/F78</f>
        <v>1038.3141579790138</v>
      </c>
      <c r="F116" s="119" t="s">
        <v>168</v>
      </c>
      <c r="G116" s="160">
        <f>(E116-'2012'!E116)/'2012'!E116</f>
        <v>-6.6188037525187399E-2</v>
      </c>
    </row>
    <row r="117" spans="2:7" ht="27" customHeight="1" x14ac:dyDescent="0.2">
      <c r="B117" s="132" t="s">
        <v>178</v>
      </c>
      <c r="C117" s="291" t="s">
        <v>174</v>
      </c>
      <c r="D117" s="291"/>
      <c r="E117" s="151">
        <f>J36/G70</f>
        <v>85.855587145403973</v>
      </c>
      <c r="F117" s="119" t="s">
        <v>84</v>
      </c>
      <c r="G117" s="160">
        <f>(E117-'2012'!E117)/'2012'!E117</f>
        <v>-5.378293867713145E-2</v>
      </c>
    </row>
    <row r="118" spans="2:7" ht="15.75" thickBot="1" x14ac:dyDescent="0.3">
      <c r="B118" s="122"/>
      <c r="C118" s="96" t="s">
        <v>104</v>
      </c>
      <c r="D118" s="96"/>
      <c r="E118" s="96"/>
      <c r="F118" s="96"/>
      <c r="G118" s="160"/>
    </row>
    <row r="119" spans="2:7" ht="13.5" customHeight="1" thickTop="1" x14ac:dyDescent="0.2">
      <c r="B119" s="131" t="s">
        <v>144</v>
      </c>
      <c r="C119" s="291" t="s">
        <v>175</v>
      </c>
      <c r="D119" s="291"/>
      <c r="E119" s="151">
        <f>J37/F78</f>
        <v>98.788552606583494</v>
      </c>
      <c r="F119" s="119" t="s">
        <v>168</v>
      </c>
      <c r="G119" s="160">
        <f>(E119-'2012'!E119)/'2012'!E119</f>
        <v>-8.0247657805340808E-2</v>
      </c>
    </row>
    <row r="120" spans="2:7" ht="27" customHeight="1" x14ac:dyDescent="0.2">
      <c r="B120" s="132" t="s">
        <v>145</v>
      </c>
      <c r="C120" s="291" t="s">
        <v>176</v>
      </c>
      <c r="D120" s="291"/>
      <c r="E120" s="151">
        <f>J37/G70</f>
        <v>8.1685770362521453</v>
      </c>
      <c r="F120" s="119" t="s">
        <v>84</v>
      </c>
      <c r="G120" s="160">
        <f>(E120-'2012'!E120)/'2012'!E120</f>
        <v>-6.8029332083299615E-2</v>
      </c>
    </row>
    <row r="121" spans="2:7" ht="15.75" thickBot="1" x14ac:dyDescent="0.3">
      <c r="B121" s="122"/>
      <c r="C121" s="96" t="s">
        <v>140</v>
      </c>
      <c r="D121" s="96"/>
      <c r="E121" s="96"/>
      <c r="F121" s="96"/>
      <c r="G121" s="142"/>
    </row>
    <row r="122" spans="2:7" ht="37.5" customHeight="1" thickTop="1" x14ac:dyDescent="0.2">
      <c r="B122" s="130" t="s">
        <v>140</v>
      </c>
      <c r="C122" s="290" t="s">
        <v>141</v>
      </c>
      <c r="D122" s="290"/>
      <c r="E122" s="133">
        <f>D72/C15</f>
        <v>1.240436713061914E-2</v>
      </c>
      <c r="F122" s="134"/>
      <c r="G122" s="160">
        <f>(E122-'2012'!E122)/'2012'!E122</f>
        <v>2.8764826300339975E-2</v>
      </c>
    </row>
    <row r="123" spans="2:7" x14ac:dyDescent="0.2">
      <c r="E123" s="58"/>
    </row>
    <row r="124" spans="2:7" x14ac:dyDescent="0.2">
      <c r="E124" s="58"/>
    </row>
    <row r="125" spans="2:7" x14ac:dyDescent="0.2">
      <c r="E125" s="58"/>
    </row>
    <row r="126" spans="2:7" x14ac:dyDescent="0.2">
      <c r="E126" s="58"/>
    </row>
  </sheetData>
  <mergeCells count="43">
    <mergeCell ref="C122:D122"/>
    <mergeCell ref="C112:D112"/>
    <mergeCell ref="C114:D114"/>
    <mergeCell ref="C116:D116"/>
    <mergeCell ref="C117:D117"/>
    <mergeCell ref="C119:D119"/>
    <mergeCell ref="C120:D120"/>
    <mergeCell ref="C110:D110"/>
    <mergeCell ref="C92:D92"/>
    <mergeCell ref="C94:D94"/>
    <mergeCell ref="C96:D96"/>
    <mergeCell ref="C98:D98"/>
    <mergeCell ref="C99:D99"/>
    <mergeCell ref="C101:D101"/>
    <mergeCell ref="C102:D102"/>
    <mergeCell ref="C104:D104"/>
    <mergeCell ref="C105:D105"/>
    <mergeCell ref="C107:D107"/>
    <mergeCell ref="C109:D109"/>
    <mergeCell ref="C90:D90"/>
    <mergeCell ref="E60:F60"/>
    <mergeCell ref="B61:B63"/>
    <mergeCell ref="C61:C63"/>
    <mergeCell ref="D61:D63"/>
    <mergeCell ref="B74:C74"/>
    <mergeCell ref="E74:F74"/>
    <mergeCell ref="C85:D85"/>
    <mergeCell ref="C87:D87"/>
    <mergeCell ref="C89:D89"/>
    <mergeCell ref="P67:R67"/>
    <mergeCell ref="B72:C72"/>
    <mergeCell ref="C29:F29"/>
    <mergeCell ref="E31:F31"/>
    <mergeCell ref="E43:F43"/>
    <mergeCell ref="C46:D46"/>
    <mergeCell ref="E48:F48"/>
    <mergeCell ref="H48:I48"/>
    <mergeCell ref="H20:I20"/>
    <mergeCell ref="A9:C9"/>
    <mergeCell ref="C12:F12"/>
    <mergeCell ref="E14:F14"/>
    <mergeCell ref="C18:F18"/>
    <mergeCell ref="E20:F20"/>
  </mergeCells>
  <conditionalFormatting sqref="D75:D79">
    <cfRule type="cellIs" dxfId="61" priority="39" operator="lessThan">
      <formula>0</formula>
    </cfRule>
  </conditionalFormatting>
  <conditionalFormatting sqref="G85">
    <cfRule type="cellIs" dxfId="60" priority="37" operator="lessThan">
      <formula>0</formula>
    </cfRule>
  </conditionalFormatting>
  <conditionalFormatting sqref="G118">
    <cfRule type="cellIs" dxfId="59" priority="23" operator="lessThan">
      <formula>0</formula>
    </cfRule>
  </conditionalFormatting>
  <conditionalFormatting sqref="G122">
    <cfRule type="cellIs" dxfId="58" priority="1" operator="lessThan">
      <formula>0</formula>
    </cfRule>
  </conditionalFormatting>
  <conditionalFormatting sqref="G75:G78">
    <cfRule type="cellIs" dxfId="57" priority="17" operator="lessThan">
      <formula>0</formula>
    </cfRule>
  </conditionalFormatting>
  <conditionalFormatting sqref="G87">
    <cfRule type="cellIs" dxfId="56" priority="16" operator="lessThan">
      <formula>0</formula>
    </cfRule>
  </conditionalFormatting>
  <conditionalFormatting sqref="G89">
    <cfRule type="cellIs" dxfId="55" priority="15" operator="lessThan">
      <formula>0</formula>
    </cfRule>
  </conditionalFormatting>
  <conditionalFormatting sqref="G92">
    <cfRule type="cellIs" dxfId="54" priority="14" operator="lessThan">
      <formula>0</formula>
    </cfRule>
  </conditionalFormatting>
  <conditionalFormatting sqref="G94">
    <cfRule type="cellIs" dxfId="53" priority="13" operator="lessThan">
      <formula>0</formula>
    </cfRule>
  </conditionalFormatting>
  <conditionalFormatting sqref="G96">
    <cfRule type="cellIs" dxfId="52" priority="12" operator="lessThan">
      <formula>0</formula>
    </cfRule>
  </conditionalFormatting>
  <conditionalFormatting sqref="G98">
    <cfRule type="cellIs" dxfId="51" priority="11" operator="lessThan">
      <formula>0</formula>
    </cfRule>
  </conditionalFormatting>
  <conditionalFormatting sqref="G101">
    <cfRule type="cellIs" dxfId="50" priority="10" operator="lessThan">
      <formula>0</formula>
    </cfRule>
  </conditionalFormatting>
  <conditionalFormatting sqref="G104">
    <cfRule type="cellIs" dxfId="49" priority="9" operator="lessThan">
      <formula>0</formula>
    </cfRule>
  </conditionalFormatting>
  <conditionalFormatting sqref="G107">
    <cfRule type="cellIs" dxfId="48" priority="8" operator="lessThan">
      <formula>0</formula>
    </cfRule>
  </conditionalFormatting>
  <conditionalFormatting sqref="G109">
    <cfRule type="cellIs" dxfId="47" priority="7" operator="lessThan">
      <formula>0</formula>
    </cfRule>
  </conditionalFormatting>
  <conditionalFormatting sqref="G112">
    <cfRule type="cellIs" dxfId="46" priority="6" operator="lessThan">
      <formula>0</formula>
    </cfRule>
  </conditionalFormatting>
  <conditionalFormatting sqref="G114">
    <cfRule type="cellIs" dxfId="45" priority="5" operator="lessThan">
      <formula>0</formula>
    </cfRule>
  </conditionalFormatting>
  <conditionalFormatting sqref="G116">
    <cfRule type="cellIs" dxfId="44" priority="4" operator="lessThan">
      <formula>0</formula>
    </cfRule>
  </conditionalFormatting>
  <conditionalFormatting sqref="G117">
    <cfRule type="cellIs" dxfId="43" priority="3" operator="lessThan">
      <formula>0</formula>
    </cfRule>
  </conditionalFormatting>
  <conditionalFormatting sqref="G119:G120">
    <cfRule type="cellIs" dxfId="42" priority="2" operator="lessThan">
      <formula>0</formula>
    </cfRule>
  </conditionalFormatting>
  <hyperlinks>
    <hyperlink ref="B3" r:id="rId1"/>
  </hyperlinks>
  <pageMargins left="0.70866141732283472" right="0.21" top="0.41" bottom="0.74803149606299213" header="0.31496062992125984" footer="0.31496062992125984"/>
  <pageSetup paperSize="9" scale="78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opLeftCell="A58" zoomScaleNormal="100" zoomScaleSheetLayoutView="100" workbookViewId="0">
      <selection activeCell="C16" sqref="C16"/>
    </sheetView>
  </sheetViews>
  <sheetFormatPr baseColWidth="10" defaultRowHeight="12.75" x14ac:dyDescent="0.2"/>
  <cols>
    <col min="1" max="1" width="11.42578125" style="1"/>
    <col min="2" max="2" width="15" style="1" customWidth="1"/>
    <col min="3" max="3" width="22.5703125" style="1" customWidth="1"/>
    <col min="4" max="4" width="19" style="1" customWidth="1"/>
    <col min="5" max="5" width="10.42578125" style="1" bestFit="1" customWidth="1"/>
    <col min="6" max="6" width="16.85546875" style="1" customWidth="1"/>
    <col min="7" max="7" width="20.7109375" style="1" customWidth="1"/>
    <col min="8" max="8" width="7" style="1" bestFit="1" customWidth="1"/>
    <col min="9" max="9" width="18.85546875" style="1" customWidth="1"/>
    <col min="10" max="10" width="18.85546875" style="1" bestFit="1" customWidth="1"/>
    <col min="11" max="11" width="9" style="1" bestFit="1" customWidth="1"/>
    <col min="12" max="12" width="23.140625" style="1" bestFit="1" customWidth="1"/>
    <col min="13" max="13" width="13.85546875" style="1" bestFit="1" customWidth="1"/>
    <col min="14" max="14" width="8" style="1" bestFit="1" customWidth="1"/>
    <col min="15" max="15" width="7.28515625" style="1" bestFit="1" customWidth="1"/>
    <col min="16" max="16" width="11.5703125" style="1" bestFit="1" customWidth="1"/>
    <col min="17" max="16384" width="11.42578125" style="1"/>
  </cols>
  <sheetData>
    <row r="1" spans="1:7" ht="30" x14ac:dyDescent="0.4">
      <c r="A1" s="102" t="s">
        <v>68</v>
      </c>
    </row>
    <row r="2" spans="1:7" ht="15.75" x14ac:dyDescent="0.25">
      <c r="A2" s="104" t="s">
        <v>63</v>
      </c>
      <c r="B2" s="103" t="s">
        <v>64</v>
      </c>
      <c r="C2" s="103"/>
      <c r="D2" s="103"/>
      <c r="E2" s="103"/>
      <c r="F2" s="103"/>
    </row>
    <row r="3" spans="1:7" ht="15.75" x14ac:dyDescent="0.25">
      <c r="A3" s="103"/>
      <c r="B3" s="105" t="s">
        <v>65</v>
      </c>
      <c r="C3" s="103"/>
      <c r="D3" s="103"/>
      <c r="E3" s="103"/>
      <c r="F3" s="103"/>
    </row>
    <row r="4" spans="1:7" ht="15.75" x14ac:dyDescent="0.25">
      <c r="A4" s="103"/>
      <c r="B4" s="103"/>
      <c r="C4" s="103"/>
      <c r="D4" s="103"/>
      <c r="E4" s="103"/>
      <c r="F4" s="103"/>
    </row>
    <row r="5" spans="1:7" ht="15.75" x14ac:dyDescent="0.25">
      <c r="A5" s="103"/>
      <c r="B5" s="103" t="s">
        <v>69</v>
      </c>
      <c r="C5" s="103"/>
      <c r="D5" s="103"/>
      <c r="E5" s="103"/>
      <c r="F5" s="103"/>
    </row>
    <row r="6" spans="1:7" ht="15.75" x14ac:dyDescent="0.25">
      <c r="A6" s="103"/>
      <c r="B6" s="103" t="s">
        <v>66</v>
      </c>
      <c r="C6" s="103"/>
      <c r="D6" s="103"/>
      <c r="E6" s="103"/>
      <c r="F6" s="103"/>
    </row>
    <row r="7" spans="1:7" ht="15.75" x14ac:dyDescent="0.25">
      <c r="A7" s="103"/>
      <c r="B7" s="103" t="s">
        <v>67</v>
      </c>
      <c r="C7" s="103"/>
      <c r="D7" s="103"/>
      <c r="E7" s="103"/>
      <c r="F7" s="103"/>
    </row>
    <row r="8" spans="1:7" ht="14.25" x14ac:dyDescent="0.2">
      <c r="B8" s="38"/>
      <c r="C8" s="38"/>
      <c r="D8" s="38"/>
      <c r="E8" s="38"/>
      <c r="F8" s="38"/>
    </row>
    <row r="9" spans="1:7" ht="17.25" x14ac:dyDescent="0.3">
      <c r="A9" s="292" t="s">
        <v>187</v>
      </c>
      <c r="B9" s="292"/>
      <c r="C9" s="292"/>
    </row>
    <row r="11" spans="1:7" ht="23.25" x14ac:dyDescent="0.35">
      <c r="A11" s="101" t="s">
        <v>25</v>
      </c>
    </row>
    <row r="12" spans="1:7" ht="15.75" x14ac:dyDescent="0.25">
      <c r="C12" s="269" t="s">
        <v>0</v>
      </c>
      <c r="D12" s="269"/>
      <c r="E12" s="269"/>
      <c r="F12" s="269"/>
    </row>
    <row r="13" spans="1:7" ht="13.5" thickBot="1" x14ac:dyDescent="0.25"/>
    <row r="14" spans="1:7" s="65" customFormat="1" ht="27" customHeight="1" thickBot="1" x14ac:dyDescent="0.3">
      <c r="C14" s="43" t="s">
        <v>20</v>
      </c>
      <c r="D14" s="42" t="s">
        <v>5</v>
      </c>
      <c r="E14" s="270" t="s">
        <v>1</v>
      </c>
      <c r="F14" s="270"/>
      <c r="G14" s="66" t="s">
        <v>85</v>
      </c>
    </row>
    <row r="15" spans="1:7" ht="16.5" thickBot="1" x14ac:dyDescent="0.3">
      <c r="B15" s="3" t="s">
        <v>48</v>
      </c>
      <c r="C15" s="48">
        <v>9667980</v>
      </c>
      <c r="D15" s="4" t="s">
        <v>21</v>
      </c>
      <c r="E15" s="5">
        <v>0.38500000000000001</v>
      </c>
      <c r="F15" s="6" t="s">
        <v>2</v>
      </c>
      <c r="G15" s="49">
        <f>C15*E15/1000</f>
        <v>3722.1723000000002</v>
      </c>
    </row>
    <row r="16" spans="1:7" ht="16.5" thickBot="1" x14ac:dyDescent="0.3">
      <c r="B16" s="3" t="s">
        <v>49</v>
      </c>
      <c r="C16" s="48"/>
      <c r="D16" s="4" t="s">
        <v>21</v>
      </c>
      <c r="E16" s="5">
        <v>0.38500000000000001</v>
      </c>
      <c r="F16" s="6" t="s">
        <v>2</v>
      </c>
      <c r="G16" s="49">
        <f>C16*E16</f>
        <v>0</v>
      </c>
    </row>
    <row r="17" spans="2:11" x14ac:dyDescent="0.2">
      <c r="G17" s="55">
        <f>SUM(G15:G16)</f>
        <v>3722.1723000000002</v>
      </c>
    </row>
    <row r="18" spans="2:11" ht="15.75" x14ac:dyDescent="0.25">
      <c r="C18" s="269" t="s">
        <v>3</v>
      </c>
      <c r="D18" s="269"/>
      <c r="E18" s="269"/>
      <c r="F18" s="269"/>
      <c r="G18" s="55"/>
    </row>
    <row r="19" spans="2:11" ht="13.5" thickBot="1" x14ac:dyDescent="0.25"/>
    <row r="20" spans="2:11" s="46" customFormat="1" ht="30.75" customHeight="1" thickBot="1" x14ac:dyDescent="0.3">
      <c r="B20" s="59" t="s">
        <v>4</v>
      </c>
      <c r="C20" s="60" t="s">
        <v>20</v>
      </c>
      <c r="D20" s="62" t="s">
        <v>5</v>
      </c>
      <c r="E20" s="266" t="s">
        <v>7</v>
      </c>
      <c r="F20" s="271"/>
      <c r="G20" s="64" t="s">
        <v>21</v>
      </c>
      <c r="H20" s="266" t="s">
        <v>1</v>
      </c>
      <c r="I20" s="267"/>
      <c r="J20" s="66" t="s">
        <v>85</v>
      </c>
    </row>
    <row r="21" spans="2:11" ht="15.75" x14ac:dyDescent="0.25">
      <c r="B21" s="11" t="s">
        <v>8</v>
      </c>
      <c r="C21" s="86">
        <v>96671.965666787146</v>
      </c>
      <c r="D21" s="13" t="s">
        <v>24</v>
      </c>
      <c r="E21" s="14">
        <v>10.7056</v>
      </c>
      <c r="F21" s="15" t="s">
        <v>27</v>
      </c>
      <c r="G21" s="87">
        <f>C21*E21</f>
        <v>1034931.3956423565</v>
      </c>
      <c r="H21" s="14">
        <v>0.2016</v>
      </c>
      <c r="I21" s="14" t="s">
        <v>2</v>
      </c>
      <c r="J21" s="88">
        <f>G21*H21/1000</f>
        <v>208.64216936149907</v>
      </c>
    </row>
    <row r="22" spans="2:11" ht="26.25" x14ac:dyDescent="0.25">
      <c r="B22" s="16" t="s">
        <v>26</v>
      </c>
      <c r="C22" s="86">
        <v>21250</v>
      </c>
      <c r="D22" s="18" t="s">
        <v>9</v>
      </c>
      <c r="E22" s="19">
        <v>10.6</v>
      </c>
      <c r="F22" s="20" t="s">
        <v>10</v>
      </c>
      <c r="G22" s="87">
        <f t="shared" ref="G22:G26" si="0">C22*E22</f>
        <v>225250</v>
      </c>
      <c r="H22" s="19">
        <v>0.26279999999999998</v>
      </c>
      <c r="I22" s="19" t="s">
        <v>2</v>
      </c>
      <c r="J22" s="88">
        <f t="shared" ref="J22:J26" si="1">G22*H22/1000</f>
        <v>59.195699999999995</v>
      </c>
    </row>
    <row r="23" spans="2:11" ht="39" x14ac:dyDescent="0.25">
      <c r="B23" s="16" t="s">
        <v>30</v>
      </c>
      <c r="C23" s="146"/>
      <c r="D23" s="18" t="s">
        <v>11</v>
      </c>
      <c r="E23" s="19">
        <v>11.161099999999999</v>
      </c>
      <c r="F23" s="20" t="s">
        <v>12</v>
      </c>
      <c r="G23" s="87">
        <f t="shared" si="0"/>
        <v>0</v>
      </c>
      <c r="H23" s="19">
        <v>0</v>
      </c>
      <c r="I23" s="19" t="s">
        <v>2</v>
      </c>
      <c r="J23" s="88">
        <f t="shared" si="1"/>
        <v>0</v>
      </c>
    </row>
    <row r="24" spans="2:11" ht="15.75" x14ac:dyDescent="0.25">
      <c r="B24" s="16" t="s">
        <v>31</v>
      </c>
      <c r="C24" s="146"/>
      <c r="D24" s="18" t="s">
        <v>11</v>
      </c>
      <c r="E24" s="19">
        <v>12.6389</v>
      </c>
      <c r="F24" s="20" t="s">
        <v>12</v>
      </c>
      <c r="G24" s="87">
        <f t="shared" si="0"/>
        <v>0</v>
      </c>
      <c r="H24" s="19">
        <v>0.23400000000000001</v>
      </c>
      <c r="I24" s="19" t="s">
        <v>2</v>
      </c>
      <c r="J24" s="88">
        <f t="shared" si="1"/>
        <v>0</v>
      </c>
    </row>
    <row r="25" spans="2:11" ht="15.75" x14ac:dyDescent="0.25">
      <c r="B25" s="16" t="s">
        <v>28</v>
      </c>
      <c r="C25" s="146"/>
      <c r="D25" s="18" t="s">
        <v>11</v>
      </c>
      <c r="E25" s="19">
        <v>5.6971999999999996</v>
      </c>
      <c r="F25" s="20" t="s">
        <v>12</v>
      </c>
      <c r="G25" s="87">
        <f t="shared" si="0"/>
        <v>0</v>
      </c>
      <c r="H25" s="19">
        <v>0.4032</v>
      </c>
      <c r="I25" s="19" t="s">
        <v>2</v>
      </c>
      <c r="J25" s="88">
        <f t="shared" si="1"/>
        <v>0</v>
      </c>
    </row>
    <row r="26" spans="2:11" ht="26.25" x14ac:dyDescent="0.25">
      <c r="B26" s="16" t="s">
        <v>29</v>
      </c>
      <c r="C26" s="146"/>
      <c r="D26" s="18" t="s">
        <v>11</v>
      </c>
      <c r="E26" s="19">
        <v>7.0917000000000003</v>
      </c>
      <c r="F26" s="20" t="s">
        <v>12</v>
      </c>
      <c r="G26" s="87">
        <f t="shared" si="0"/>
        <v>0</v>
      </c>
      <c r="H26" s="19">
        <v>0</v>
      </c>
      <c r="I26" s="19" t="s">
        <v>2</v>
      </c>
      <c r="J26" s="88">
        <f t="shared" si="1"/>
        <v>0</v>
      </c>
    </row>
    <row r="27" spans="2:11" ht="16.5" thickBot="1" x14ac:dyDescent="0.3">
      <c r="B27" s="21"/>
      <c r="C27" s="147"/>
      <c r="D27" s="23"/>
      <c r="E27" s="24"/>
      <c r="F27" s="25"/>
      <c r="G27" s="93"/>
      <c r="H27" s="24"/>
      <c r="I27" s="24"/>
      <c r="J27" s="89">
        <f>SUM(J21:J26)</f>
        <v>267.83786936149909</v>
      </c>
    </row>
    <row r="28" spans="2:11" x14ac:dyDescent="0.2">
      <c r="C28" s="26"/>
      <c r="D28" s="26"/>
      <c r="E28" s="26"/>
      <c r="F28" s="26"/>
      <c r="G28" s="26"/>
      <c r="H28" s="26"/>
      <c r="I28" s="26"/>
      <c r="J28" s="26"/>
      <c r="K28" s="26"/>
    </row>
    <row r="29" spans="2:11" ht="15.75" customHeight="1" x14ac:dyDescent="0.25">
      <c r="C29" s="269" t="s">
        <v>13</v>
      </c>
      <c r="D29" s="269"/>
      <c r="E29" s="269"/>
      <c r="F29" s="269"/>
      <c r="G29" s="26"/>
      <c r="H29" s="2" t="s">
        <v>81</v>
      </c>
      <c r="I29" s="26"/>
      <c r="J29" s="26"/>
      <c r="K29" s="26"/>
    </row>
    <row r="30" spans="2:11" ht="15.75" customHeight="1" thickBot="1" x14ac:dyDescent="0.3">
      <c r="C30" s="106"/>
      <c r="D30" s="106"/>
      <c r="E30" s="106"/>
      <c r="F30" s="106"/>
      <c r="G30" s="26"/>
      <c r="H30" s="2"/>
      <c r="I30" s="26"/>
      <c r="J30" s="26"/>
      <c r="K30" s="26"/>
    </row>
    <row r="31" spans="2:11" ht="39.75" customHeight="1" thickBot="1" x14ac:dyDescent="0.25">
      <c r="B31" s="27" t="s">
        <v>23</v>
      </c>
      <c r="C31" s="39" t="s">
        <v>20</v>
      </c>
      <c r="D31" s="42" t="s">
        <v>5</v>
      </c>
      <c r="E31" s="266" t="s">
        <v>6</v>
      </c>
      <c r="F31" s="271"/>
      <c r="G31" s="66" t="s">
        <v>85</v>
      </c>
      <c r="H31" s="26"/>
      <c r="I31" s="59"/>
      <c r="J31" s="60" t="s">
        <v>82</v>
      </c>
    </row>
    <row r="32" spans="2:11" ht="27" thickBot="1" x14ac:dyDescent="0.3">
      <c r="B32" s="28" t="s">
        <v>14</v>
      </c>
      <c r="C32" s="86"/>
      <c r="D32" s="29" t="s">
        <v>11</v>
      </c>
      <c r="E32" s="30">
        <v>3</v>
      </c>
      <c r="F32" s="14" t="s">
        <v>15</v>
      </c>
      <c r="G32" s="153">
        <f>C32*E32/1000</f>
        <v>0</v>
      </c>
      <c r="I32" s="11" t="s">
        <v>22</v>
      </c>
      <c r="J32" s="90">
        <v>1548952.5871392956</v>
      </c>
      <c r="K32" s="26"/>
    </row>
    <row r="33" spans="1:11" ht="26.25" customHeight="1" thickBot="1" x14ac:dyDescent="0.3">
      <c r="B33" s="32" t="s">
        <v>16</v>
      </c>
      <c r="C33" s="91"/>
      <c r="D33" s="33" t="s">
        <v>11</v>
      </c>
      <c r="E33" s="34">
        <v>1.8</v>
      </c>
      <c r="F33" s="19" t="s">
        <v>17</v>
      </c>
      <c r="G33" s="153">
        <f t="shared" ref="G33:G34" si="2">C33*E33/1000</f>
        <v>0</v>
      </c>
      <c r="I33" s="16" t="s">
        <v>8</v>
      </c>
      <c r="J33" s="90">
        <v>56837.919999999998</v>
      </c>
      <c r="K33" s="26"/>
    </row>
    <row r="34" spans="1:11" ht="27" thickBot="1" x14ac:dyDescent="0.3">
      <c r="B34" s="35" t="s">
        <v>18</v>
      </c>
      <c r="C34" s="22">
        <v>77255</v>
      </c>
      <c r="D34" s="36" t="s">
        <v>24</v>
      </c>
      <c r="E34" s="37">
        <v>0.78800000000000003</v>
      </c>
      <c r="F34" s="24" t="s">
        <v>19</v>
      </c>
      <c r="G34" s="153">
        <f t="shared" si="2"/>
        <v>60.876940000000005</v>
      </c>
      <c r="I34" s="16" t="s">
        <v>26</v>
      </c>
      <c r="J34" s="90">
        <v>42059</v>
      </c>
    </row>
    <row r="35" spans="1:11" ht="25.5" x14ac:dyDescent="0.2">
      <c r="I35" s="16" t="s">
        <v>30</v>
      </c>
      <c r="J35" s="83"/>
    </row>
    <row r="36" spans="1:11" x14ac:dyDescent="0.2">
      <c r="I36" s="84" t="s">
        <v>76</v>
      </c>
      <c r="J36" s="152">
        <f>SUM(J32:J35)</f>
        <v>1647849.5071392956</v>
      </c>
    </row>
    <row r="37" spans="1:11" x14ac:dyDescent="0.2">
      <c r="I37" s="85" t="s">
        <v>18</v>
      </c>
      <c r="J37" s="90">
        <v>159178.32251844509</v>
      </c>
    </row>
    <row r="39" spans="1:11" ht="23.25" x14ac:dyDescent="0.35">
      <c r="A39" s="101" t="s">
        <v>105</v>
      </c>
    </row>
    <row r="40" spans="1:11" ht="14.25" x14ac:dyDescent="0.2">
      <c r="B40" s="38"/>
      <c r="C40" s="38"/>
      <c r="D40" s="38"/>
      <c r="E40" s="38"/>
      <c r="F40" s="38"/>
    </row>
    <row r="41" spans="1:11" ht="15.75" x14ac:dyDescent="0.25">
      <c r="C41" s="2" t="s">
        <v>32</v>
      </c>
      <c r="D41" s="2"/>
    </row>
    <row r="42" spans="1:11" ht="13.5" thickBot="1" x14ac:dyDescent="0.25"/>
    <row r="43" spans="1:11" ht="27" customHeight="1" thickBot="1" x14ac:dyDescent="0.25">
      <c r="C43" s="43" t="s">
        <v>20</v>
      </c>
      <c r="D43" s="42" t="s">
        <v>5</v>
      </c>
      <c r="E43" s="270" t="s">
        <v>34</v>
      </c>
      <c r="F43" s="270"/>
      <c r="G43" s="41" t="s">
        <v>35</v>
      </c>
    </row>
    <row r="44" spans="1:11" s="46" customFormat="1" ht="26.25" thickBot="1" x14ac:dyDescent="0.3">
      <c r="B44" s="50" t="s">
        <v>22</v>
      </c>
      <c r="C44" s="148">
        <f>$C$15</f>
        <v>9667980</v>
      </c>
      <c r="D44" s="51" t="s">
        <v>21</v>
      </c>
      <c r="E44" s="52">
        <v>2.403</v>
      </c>
      <c r="F44" s="53" t="s">
        <v>33</v>
      </c>
      <c r="G44" s="54">
        <f>C44*E44</f>
        <v>23232155.940000001</v>
      </c>
    </row>
    <row r="46" spans="1:11" ht="15.75" x14ac:dyDescent="0.25">
      <c r="C46" s="269"/>
      <c r="D46" s="269"/>
    </row>
    <row r="47" spans="1:11" ht="13.5" thickBot="1" x14ac:dyDescent="0.25"/>
    <row r="48" spans="1:11" ht="30.75" customHeight="1" thickBot="1" x14ac:dyDescent="0.25">
      <c r="B48" s="7" t="s">
        <v>4</v>
      </c>
      <c r="C48" s="8" t="s">
        <v>20</v>
      </c>
      <c r="D48" s="40" t="s">
        <v>5</v>
      </c>
      <c r="E48" s="274" t="s">
        <v>7</v>
      </c>
      <c r="F48" s="275"/>
      <c r="G48" s="10" t="s">
        <v>21</v>
      </c>
      <c r="H48" s="276" t="s">
        <v>34</v>
      </c>
      <c r="I48" s="276"/>
      <c r="J48" s="41" t="s">
        <v>35</v>
      </c>
    </row>
    <row r="49" spans="1:11" ht="27" thickBot="1" x14ac:dyDescent="0.3">
      <c r="B49" s="11" t="s">
        <v>8</v>
      </c>
      <c r="C49" s="145">
        <f t="shared" ref="C49:C54" si="3">C21</f>
        <v>96671.965666787146</v>
      </c>
      <c r="D49" s="13" t="s">
        <v>24</v>
      </c>
      <c r="E49" s="14">
        <v>10.7056</v>
      </c>
      <c r="F49" s="15" t="s">
        <v>27</v>
      </c>
      <c r="G49" s="87">
        <f>C49*E49</f>
        <v>1034931.3956423565</v>
      </c>
      <c r="H49" s="14">
        <v>1.1950000000000001</v>
      </c>
      <c r="I49" s="6" t="s">
        <v>33</v>
      </c>
      <c r="J49" s="88">
        <f>G49*H49</f>
        <v>1236743.017792616</v>
      </c>
    </row>
    <row r="50" spans="1:11" ht="27" thickBot="1" x14ac:dyDescent="0.3">
      <c r="B50" s="16" t="s">
        <v>26</v>
      </c>
      <c r="C50" s="146">
        <f t="shared" si="3"/>
        <v>21250</v>
      </c>
      <c r="D50" s="18" t="s">
        <v>9</v>
      </c>
      <c r="E50" s="19">
        <v>10.6</v>
      </c>
      <c r="F50" s="20" t="s">
        <v>10</v>
      </c>
      <c r="G50" s="87">
        <f t="shared" ref="G50:G54" si="4">C50*E50</f>
        <v>225250</v>
      </c>
      <c r="H50" s="19">
        <v>1.1819999999999999</v>
      </c>
      <c r="I50" s="6" t="s">
        <v>33</v>
      </c>
      <c r="J50" s="88">
        <f t="shared" ref="J50:J54" si="5">G50*H50</f>
        <v>266245.5</v>
      </c>
    </row>
    <row r="51" spans="1:11" ht="39.75" thickBot="1" x14ac:dyDescent="0.3">
      <c r="B51" s="16" t="s">
        <v>30</v>
      </c>
      <c r="C51" s="146">
        <f t="shared" si="3"/>
        <v>0</v>
      </c>
      <c r="D51" s="18" t="s">
        <v>11</v>
      </c>
      <c r="E51" s="19">
        <v>11.161099999999999</v>
      </c>
      <c r="F51" s="20" t="s">
        <v>12</v>
      </c>
      <c r="G51" s="87">
        <f t="shared" si="4"/>
        <v>0</v>
      </c>
      <c r="H51" s="19">
        <v>1.113</v>
      </c>
      <c r="I51" s="6" t="s">
        <v>33</v>
      </c>
      <c r="J51" s="88">
        <f t="shared" si="5"/>
        <v>0</v>
      </c>
    </row>
    <row r="52" spans="1:11" ht="27" thickBot="1" x14ac:dyDescent="0.3">
      <c r="B52" s="16" t="s">
        <v>31</v>
      </c>
      <c r="C52" s="146">
        <f t="shared" si="3"/>
        <v>0</v>
      </c>
      <c r="D52" s="18" t="s">
        <v>11</v>
      </c>
      <c r="E52" s="19">
        <v>12.6389</v>
      </c>
      <c r="F52" s="20" t="s">
        <v>12</v>
      </c>
      <c r="G52" s="87">
        <f t="shared" si="4"/>
        <v>0</v>
      </c>
      <c r="H52" s="19">
        <v>1.204</v>
      </c>
      <c r="I52" s="6" t="s">
        <v>33</v>
      </c>
      <c r="J52" s="88">
        <f t="shared" si="5"/>
        <v>0</v>
      </c>
    </row>
    <row r="53" spans="1:11" ht="27" thickBot="1" x14ac:dyDescent="0.3">
      <c r="B53" s="16" t="s">
        <v>28</v>
      </c>
      <c r="C53" s="146">
        <f t="shared" si="3"/>
        <v>0</v>
      </c>
      <c r="D53" s="18" t="s">
        <v>11</v>
      </c>
      <c r="E53" s="19">
        <v>5.6971999999999996</v>
      </c>
      <c r="F53" s="20" t="s">
        <v>12</v>
      </c>
      <c r="G53" s="87">
        <f t="shared" si="4"/>
        <v>0</v>
      </c>
      <c r="H53" s="19">
        <v>1.0840000000000001</v>
      </c>
      <c r="I53" s="6" t="s">
        <v>33</v>
      </c>
      <c r="J53" s="88">
        <f t="shared" si="5"/>
        <v>0</v>
      </c>
    </row>
    <row r="54" spans="1:11" ht="27" thickBot="1" x14ac:dyDescent="0.3">
      <c r="B54" s="16" t="s">
        <v>29</v>
      </c>
      <c r="C54" s="146">
        <f t="shared" si="3"/>
        <v>0</v>
      </c>
      <c r="D54" s="18" t="s">
        <v>11</v>
      </c>
      <c r="E54" s="19">
        <v>7.0917000000000003</v>
      </c>
      <c r="F54" s="20" t="s">
        <v>12</v>
      </c>
      <c r="G54" s="87">
        <f t="shared" si="4"/>
        <v>0</v>
      </c>
      <c r="H54" s="19">
        <v>1.0369999999999999</v>
      </c>
      <c r="I54" s="6" t="s">
        <v>33</v>
      </c>
      <c r="J54" s="88">
        <f t="shared" si="5"/>
        <v>0</v>
      </c>
    </row>
    <row r="55" spans="1:11" ht="16.5" thickBot="1" x14ac:dyDescent="0.3">
      <c r="B55" s="21"/>
      <c r="C55" s="147"/>
      <c r="D55" s="23"/>
      <c r="E55" s="24"/>
      <c r="F55" s="25"/>
      <c r="G55" s="93">
        <f>SUM(G49:G54)</f>
        <v>1260181.3956423565</v>
      </c>
      <c r="H55" s="24"/>
      <c r="I55" s="24"/>
      <c r="J55" s="89">
        <f>SUM(J49:J54)</f>
        <v>1502988.517792616</v>
      </c>
    </row>
    <row r="56" spans="1:11" x14ac:dyDescent="0.2">
      <c r="C56" s="26"/>
      <c r="D56" s="26"/>
      <c r="E56" s="26"/>
      <c r="F56" s="26"/>
      <c r="G56" s="26"/>
      <c r="H56" s="26"/>
      <c r="I56" s="26"/>
      <c r="J56" s="26"/>
      <c r="K56" s="26"/>
    </row>
    <row r="57" spans="1:11" ht="18.75" x14ac:dyDescent="0.3">
      <c r="A57" s="100" t="s">
        <v>136</v>
      </c>
      <c r="H57" s="26"/>
      <c r="I57" s="26"/>
      <c r="J57" s="26"/>
      <c r="K57" s="26"/>
    </row>
    <row r="58" spans="1:11" ht="15.75" x14ac:dyDescent="0.25">
      <c r="C58" s="2" t="s">
        <v>0</v>
      </c>
      <c r="D58" s="2"/>
      <c r="H58" s="26"/>
      <c r="I58" s="26"/>
      <c r="J58" s="26"/>
      <c r="K58" s="26"/>
    </row>
    <row r="59" spans="1:11" ht="13.5" thickBot="1" x14ac:dyDescent="0.25">
      <c r="H59" s="26"/>
      <c r="I59" s="26"/>
      <c r="J59" s="26"/>
      <c r="K59" s="26"/>
    </row>
    <row r="60" spans="1:11" ht="31.5" customHeight="1" thickBot="1" x14ac:dyDescent="0.25">
      <c r="A60" s="65"/>
      <c r="B60" s="65"/>
      <c r="C60" s="43" t="s">
        <v>107</v>
      </c>
      <c r="D60" s="42" t="s">
        <v>5</v>
      </c>
      <c r="E60" s="270" t="s">
        <v>134</v>
      </c>
      <c r="F60" s="270"/>
      <c r="G60" s="66" t="s">
        <v>182</v>
      </c>
      <c r="H60" s="26"/>
      <c r="I60" s="26"/>
      <c r="J60" s="26"/>
      <c r="K60" s="26"/>
    </row>
    <row r="61" spans="1:11" ht="16.5" thickBot="1" x14ac:dyDescent="0.3">
      <c r="B61" s="278" t="s">
        <v>22</v>
      </c>
      <c r="C61" s="281">
        <v>126199</v>
      </c>
      <c r="D61" s="284" t="s">
        <v>21</v>
      </c>
      <c r="E61" s="5">
        <v>0.35699999999999998</v>
      </c>
      <c r="F61" s="6" t="s">
        <v>2</v>
      </c>
      <c r="G61" s="109">
        <f>-(C61*E61/1000)</f>
        <v>-45.053042999999995</v>
      </c>
      <c r="H61" s="26"/>
      <c r="I61" s="26"/>
      <c r="J61" s="26"/>
      <c r="K61" s="26"/>
    </row>
    <row r="62" spans="1:11" ht="16.5" thickBot="1" x14ac:dyDescent="0.3">
      <c r="B62" s="279"/>
      <c r="C62" s="282"/>
      <c r="D62" s="285"/>
      <c r="E62" s="5">
        <v>0.36659999999999998</v>
      </c>
      <c r="F62" s="6" t="s">
        <v>133</v>
      </c>
      <c r="G62" s="110">
        <f>-(C61*E62/1000)/1000</f>
        <v>-4.6264553399999998E-2</v>
      </c>
      <c r="H62" s="26"/>
      <c r="I62" s="26"/>
      <c r="J62" s="26"/>
      <c r="K62" s="26"/>
    </row>
    <row r="63" spans="1:11" ht="16.5" thickBot="1" x14ac:dyDescent="0.3">
      <c r="B63" s="280"/>
      <c r="C63" s="283"/>
      <c r="D63" s="286"/>
      <c r="E63" s="5">
        <v>0.26100000000000001</v>
      </c>
      <c r="F63" s="6" t="s">
        <v>137</v>
      </c>
      <c r="G63" s="110">
        <f>-(C61*E63/1000)/1000</f>
        <v>-3.2937938999999999E-2</v>
      </c>
      <c r="H63" s="26"/>
      <c r="I63" s="26"/>
      <c r="J63" s="26"/>
      <c r="K63" s="26"/>
    </row>
    <row r="64" spans="1:11" x14ac:dyDescent="0.2">
      <c r="C64" s="26"/>
      <c r="D64" s="26"/>
      <c r="E64" s="26"/>
      <c r="F64" s="26"/>
      <c r="G64" s="26" t="s">
        <v>106</v>
      </c>
      <c r="H64" s="26"/>
      <c r="I64" s="26"/>
      <c r="J64" s="26"/>
      <c r="K64" s="26"/>
    </row>
    <row r="65" spans="1:19" ht="23.25" x14ac:dyDescent="0.35">
      <c r="A65" s="101" t="s">
        <v>152</v>
      </c>
      <c r="C65" s="26"/>
      <c r="D65" s="26"/>
      <c r="E65" s="26"/>
      <c r="F65" s="26"/>
      <c r="G65" s="26"/>
      <c r="H65" s="26"/>
      <c r="I65" s="26"/>
      <c r="J65" s="26"/>
      <c r="K65" s="26"/>
    </row>
    <row r="66" spans="1:19" ht="15.75" x14ac:dyDescent="0.25">
      <c r="B66" s="2" t="s">
        <v>130</v>
      </c>
      <c r="C66" s="26"/>
      <c r="D66" s="26"/>
      <c r="E66" s="26"/>
      <c r="F66" s="26"/>
      <c r="G66" s="26"/>
      <c r="H66" s="26"/>
      <c r="I66" s="26"/>
      <c r="J66" s="26"/>
      <c r="K66" s="26"/>
    </row>
    <row r="67" spans="1:19" ht="25.5" x14ac:dyDescent="0.2">
      <c r="A67" s="135" t="s">
        <v>146</v>
      </c>
      <c r="B67" s="136" t="s">
        <v>36</v>
      </c>
      <c r="C67" s="137"/>
      <c r="D67" s="74">
        <f>G44+J55</f>
        <v>24735144.457792617</v>
      </c>
      <c r="E67" s="82" t="s">
        <v>21</v>
      </c>
      <c r="F67" s="67" t="s">
        <v>45</v>
      </c>
      <c r="G67" s="73">
        <v>162275.76</v>
      </c>
      <c r="H67" s="44" t="s">
        <v>75</v>
      </c>
      <c r="I67" s="26"/>
      <c r="P67" s="272" t="s">
        <v>58</v>
      </c>
      <c r="Q67" s="272"/>
      <c r="R67" s="272"/>
      <c r="S67" s="75" t="s">
        <v>80</v>
      </c>
    </row>
    <row r="68" spans="1:19" ht="25.5" x14ac:dyDescent="0.2">
      <c r="A68" s="135" t="s">
        <v>147</v>
      </c>
      <c r="B68" s="136" t="s">
        <v>37</v>
      </c>
      <c r="C68" s="138"/>
      <c r="D68" s="74">
        <f>C44+G55</f>
        <v>10928161.395642357</v>
      </c>
      <c r="E68" s="77" t="s">
        <v>21</v>
      </c>
      <c r="F68" s="67" t="s">
        <v>41</v>
      </c>
      <c r="G68" s="78">
        <f>$F$78</f>
        <v>1482</v>
      </c>
      <c r="P68" s="68" t="s">
        <v>59</v>
      </c>
      <c r="Q68" s="47" t="s">
        <v>43</v>
      </c>
      <c r="R68" s="69">
        <v>3425</v>
      </c>
      <c r="S68" s="76" t="e">
        <f>(R68-#REF!)/#REF!</f>
        <v>#REF!</v>
      </c>
    </row>
    <row r="69" spans="1:19" ht="25.5" x14ac:dyDescent="0.2">
      <c r="A69" s="135" t="s">
        <v>148</v>
      </c>
      <c r="B69" s="136" t="s">
        <v>38</v>
      </c>
      <c r="C69" s="138"/>
      <c r="D69" s="74">
        <f>G15+J27</f>
        <v>3990.0101693614993</v>
      </c>
      <c r="E69" s="77" t="s">
        <v>88</v>
      </c>
      <c r="F69" s="67" t="s">
        <v>42</v>
      </c>
      <c r="G69" s="78">
        <f>$C$79</f>
        <v>16679</v>
      </c>
      <c r="P69" s="70" t="s">
        <v>60</v>
      </c>
      <c r="Q69" s="47" t="s">
        <v>61</v>
      </c>
      <c r="R69" s="71">
        <v>68</v>
      </c>
      <c r="S69" s="76" t="e">
        <f>(R69-#REF!)/#REF!</f>
        <v>#REF!</v>
      </c>
    </row>
    <row r="70" spans="1:19" ht="38.25" x14ac:dyDescent="0.2">
      <c r="A70" s="135" t="s">
        <v>149</v>
      </c>
      <c r="B70" s="136" t="s">
        <v>39</v>
      </c>
      <c r="C70" s="138"/>
      <c r="D70" s="74">
        <f>D68*0.366/1000</f>
        <v>3999.7070708051024</v>
      </c>
      <c r="E70" s="77" t="s">
        <v>89</v>
      </c>
      <c r="F70" s="140" t="s">
        <v>169</v>
      </c>
      <c r="G70" s="80">
        <f>G68+G69</f>
        <v>18161</v>
      </c>
      <c r="P70" s="47"/>
      <c r="Q70" s="47" t="s">
        <v>62</v>
      </c>
      <c r="R70" s="71">
        <v>1757</v>
      </c>
      <c r="S70" s="76" t="e">
        <f>(R70-#REF!)/#REF!</f>
        <v>#REF!</v>
      </c>
    </row>
    <row r="71" spans="1:19" ht="15" x14ac:dyDescent="0.2">
      <c r="A71" s="135" t="s">
        <v>150</v>
      </c>
      <c r="B71" s="136" t="s">
        <v>40</v>
      </c>
      <c r="C71" s="138"/>
      <c r="D71" s="74">
        <f>D68*0.261/1000</f>
        <v>2852.2501242626549</v>
      </c>
      <c r="E71" s="77" t="s">
        <v>89</v>
      </c>
      <c r="F71" s="72"/>
      <c r="G71" s="72"/>
    </row>
    <row r="72" spans="1:19" ht="27.75" customHeight="1" x14ac:dyDescent="0.25">
      <c r="A72" s="135" t="s">
        <v>151</v>
      </c>
      <c r="B72" s="273" t="s">
        <v>138</v>
      </c>
      <c r="C72" s="273"/>
      <c r="D72" s="74">
        <v>116572</v>
      </c>
      <c r="E72" s="67" t="s">
        <v>21</v>
      </c>
      <c r="F72"/>
      <c r="G72"/>
      <c r="H72"/>
      <c r="I72"/>
      <c r="J72"/>
    </row>
    <row r="73" spans="1:19" ht="15.75" x14ac:dyDescent="0.2">
      <c r="A73" s="108"/>
      <c r="B73" s="107"/>
      <c r="D73" s="74"/>
      <c r="E73" s="67"/>
    </row>
    <row r="74" spans="1:19" ht="22.5" x14ac:dyDescent="0.2">
      <c r="B74" s="287" t="s">
        <v>50</v>
      </c>
      <c r="C74" s="287"/>
      <c r="D74" s="75" t="s">
        <v>153</v>
      </c>
      <c r="E74" s="288" t="s">
        <v>54</v>
      </c>
      <c r="F74" s="288"/>
      <c r="G74" s="75" t="s">
        <v>153</v>
      </c>
    </row>
    <row r="75" spans="1:19" x14ac:dyDescent="0.2">
      <c r="B75" s="47" t="s">
        <v>179</v>
      </c>
      <c r="C75" s="78">
        <v>15308</v>
      </c>
      <c r="D75" s="160">
        <f>(C75-'2014'!C75)/'2014'!C75</f>
        <v>7.9244218838127461E-2</v>
      </c>
      <c r="E75" s="47" t="s">
        <v>55</v>
      </c>
      <c r="F75" s="56">
        <v>912</v>
      </c>
      <c r="G75" s="160">
        <f>(F75-'2014'!F75)/'2014'!F75</f>
        <v>2.7027027027027029E-2</v>
      </c>
      <c r="K75" s="56"/>
    </row>
    <row r="76" spans="1:19" x14ac:dyDescent="0.2">
      <c r="B76" s="47" t="s">
        <v>51</v>
      </c>
      <c r="C76" s="78">
        <v>510</v>
      </c>
      <c r="D76" s="160">
        <f>(C76-'2014'!C76)/'2014'!C76</f>
        <v>1.6842105263157894</v>
      </c>
      <c r="E76" s="47" t="s">
        <v>57</v>
      </c>
      <c r="F76" s="56">
        <v>105</v>
      </c>
      <c r="G76" s="160">
        <f>(F76-'2014'!F76)/'2014'!F76</f>
        <v>0.36363636363636365</v>
      </c>
    </row>
    <row r="77" spans="1:19" x14ac:dyDescent="0.2">
      <c r="B77" s="47" t="s">
        <v>52</v>
      </c>
      <c r="C77" s="56">
        <v>861</v>
      </c>
      <c r="D77" s="160">
        <f>(C77-'2014'!C77)/'2014'!C77</f>
        <v>-0.20055710306406685</v>
      </c>
      <c r="E77" s="47" t="s">
        <v>56</v>
      </c>
      <c r="F77" s="56">
        <v>465</v>
      </c>
      <c r="G77" s="160">
        <f>(F77-'2014'!F77)/'2014'!F77</f>
        <v>-6.4386317907444673E-2</v>
      </c>
    </row>
    <row r="78" spans="1:19" x14ac:dyDescent="0.2">
      <c r="B78" s="47" t="s">
        <v>53</v>
      </c>
      <c r="C78" s="78"/>
      <c r="D78" s="160"/>
      <c r="E78" s="79" t="s">
        <v>76</v>
      </c>
      <c r="F78" s="80">
        <f>SUM(F75:F77)</f>
        <v>1482</v>
      </c>
      <c r="G78" s="160">
        <f>(F78-'2014'!F78)/'2014'!F78</f>
        <v>1.3679890560875513E-2</v>
      </c>
    </row>
    <row r="79" spans="1:19" x14ac:dyDescent="0.2">
      <c r="B79" s="79" t="s">
        <v>76</v>
      </c>
      <c r="C79" s="80">
        <f>SUM(C75:C78)</f>
        <v>16679</v>
      </c>
      <c r="D79" s="160">
        <f>(C79-'2014'!C79)/'2014'!C79</f>
        <v>7.9477056501197338E-2</v>
      </c>
      <c r="G79" s="76"/>
    </row>
    <row r="80" spans="1:19" ht="13.5" customHeight="1" x14ac:dyDescent="0.2"/>
    <row r="81" spans="2:7" ht="13.5" customHeight="1" x14ac:dyDescent="0.2">
      <c r="B81" s="79"/>
      <c r="C81" s="80"/>
      <c r="D81" s="76"/>
    </row>
    <row r="82" spans="2:7" ht="13.5" customHeight="1" x14ac:dyDescent="0.25">
      <c r="B82" s="2" t="s">
        <v>131</v>
      </c>
      <c r="C82" s="80"/>
      <c r="D82" s="76"/>
    </row>
    <row r="83" spans="2:7" ht="13.5" customHeight="1" x14ac:dyDescent="0.25">
      <c r="B83" s="2"/>
      <c r="C83" s="80"/>
      <c r="D83" s="76"/>
    </row>
    <row r="84" spans="2:7" ht="30.75" thickBot="1" x14ac:dyDescent="0.35">
      <c r="B84" s="139" t="s">
        <v>154</v>
      </c>
      <c r="C84" s="96" t="s">
        <v>44</v>
      </c>
      <c r="D84" s="96"/>
      <c r="E84" s="96"/>
      <c r="F84" s="96"/>
      <c r="G84" s="81" t="s">
        <v>153</v>
      </c>
    </row>
    <row r="85" spans="2:7" ht="30.75" customHeight="1" thickTop="1" x14ac:dyDescent="0.2">
      <c r="B85" s="123" t="s">
        <v>44</v>
      </c>
      <c r="C85" s="277" t="s">
        <v>78</v>
      </c>
      <c r="D85" s="277"/>
      <c r="E85" s="121">
        <f>IF(D68=0,0,D68/$G$67)</f>
        <v>67.343153380654982</v>
      </c>
      <c r="F85" s="114" t="s">
        <v>70</v>
      </c>
      <c r="G85" s="160"/>
    </row>
    <row r="86" spans="2:7" ht="15.75" customHeight="1" thickBot="1" x14ac:dyDescent="0.3">
      <c r="B86" s="122"/>
      <c r="C86" s="96" t="s">
        <v>46</v>
      </c>
      <c r="D86" s="96"/>
      <c r="E86" s="96"/>
      <c r="F86" s="96"/>
      <c r="G86" s="142"/>
    </row>
    <row r="87" spans="2:7" ht="26.25" customHeight="1" thickTop="1" x14ac:dyDescent="0.2">
      <c r="B87" s="124" t="s">
        <v>46</v>
      </c>
      <c r="C87" s="277" t="s">
        <v>79</v>
      </c>
      <c r="D87" s="277"/>
      <c r="E87" s="121">
        <f>IF(D67=0,0,D67/$G$67)</f>
        <v>152.42661293216324</v>
      </c>
      <c r="F87" s="114" t="s">
        <v>70</v>
      </c>
      <c r="G87" s="160">
        <f>(E87-'2014'!E87)/'2014'!E87</f>
        <v>-2.1632732605906674E-2</v>
      </c>
    </row>
    <row r="88" spans="2:7" ht="15.75" customHeight="1" thickBot="1" x14ac:dyDescent="0.3">
      <c r="B88" s="97"/>
      <c r="C88" s="96" t="s">
        <v>47</v>
      </c>
      <c r="D88" s="96"/>
      <c r="E88" s="96"/>
      <c r="F88" s="96"/>
      <c r="G88" s="142"/>
    </row>
    <row r="89" spans="2:7" ht="30.75" customHeight="1" thickTop="1" x14ac:dyDescent="0.2">
      <c r="B89" s="125" t="s">
        <v>108</v>
      </c>
      <c r="C89" s="277" t="s">
        <v>156</v>
      </c>
      <c r="D89" s="277"/>
      <c r="E89" s="120">
        <f>IF(D68=0,0,D68/F78)</f>
        <v>7373.9280672350587</v>
      </c>
      <c r="F89" s="114" t="s">
        <v>165</v>
      </c>
      <c r="G89" s="160">
        <f>(E89-'2014'!E89)/'2014'!E89</f>
        <v>-7.3949472440854327E-2</v>
      </c>
    </row>
    <row r="90" spans="2:7" ht="26.25" customHeight="1" x14ac:dyDescent="0.2">
      <c r="B90" s="126" t="s">
        <v>109</v>
      </c>
      <c r="C90" s="277" t="s">
        <v>157</v>
      </c>
      <c r="D90" s="277"/>
      <c r="E90" s="121">
        <f>IF(D68=0,0,D68/G70)</f>
        <v>601.73786661760676</v>
      </c>
      <c r="F90" s="114" t="s">
        <v>101</v>
      </c>
      <c r="G90" s="141"/>
    </row>
    <row r="91" spans="2:7" ht="15.75" thickBot="1" x14ac:dyDescent="0.3">
      <c r="B91" s="97"/>
      <c r="C91" s="96" t="s">
        <v>90</v>
      </c>
      <c r="D91" s="96"/>
      <c r="E91" s="96"/>
      <c r="F91" s="96"/>
      <c r="G91" s="142"/>
    </row>
    <row r="92" spans="2:7" ht="30.75" customHeight="1" thickTop="1" x14ac:dyDescent="0.2">
      <c r="B92" s="127" t="s">
        <v>90</v>
      </c>
      <c r="C92" s="289" t="s">
        <v>72</v>
      </c>
      <c r="D92" s="289"/>
      <c r="E92" s="116">
        <f>IF(D69=0,0,D69/$G$67)</f>
        <v>2.4587838438479653E-2</v>
      </c>
      <c r="F92" s="117" t="s">
        <v>87</v>
      </c>
      <c r="G92" s="160">
        <f>(E92-'2014'!E92)/'2014'!E92</f>
        <v>-2.882684446279617E-2</v>
      </c>
    </row>
    <row r="93" spans="2:7" ht="25.5" customHeight="1" thickBot="1" x14ac:dyDescent="0.3">
      <c r="B93" s="122"/>
      <c r="C93" s="96" t="s">
        <v>91</v>
      </c>
      <c r="D93" s="96"/>
      <c r="E93" s="96"/>
      <c r="F93" s="96"/>
      <c r="G93" s="142"/>
    </row>
    <row r="94" spans="2:7" ht="15.75" customHeight="1" thickTop="1" x14ac:dyDescent="0.2">
      <c r="B94" s="127" t="s">
        <v>91</v>
      </c>
      <c r="C94" s="289" t="s">
        <v>73</v>
      </c>
      <c r="D94" s="289"/>
      <c r="E94" s="116">
        <f>IF(D70=0,0,D70/$G$67)</f>
        <v>2.464759413731972E-2</v>
      </c>
      <c r="F94" s="117" t="s">
        <v>71</v>
      </c>
      <c r="G94" s="160">
        <f>(E94-'2014'!E94)/'2014'!E94</f>
        <v>-6.1281202570004176E-2</v>
      </c>
    </row>
    <row r="95" spans="2:7" ht="13.5" customHeight="1" thickBot="1" x14ac:dyDescent="0.3">
      <c r="B95" s="122"/>
      <c r="C95" s="96" t="s">
        <v>92</v>
      </c>
      <c r="D95" s="96"/>
      <c r="E95" s="96"/>
      <c r="F95" s="96"/>
      <c r="G95" s="142"/>
    </row>
    <row r="96" spans="2:7" ht="29.25" customHeight="1" thickTop="1" x14ac:dyDescent="0.2">
      <c r="B96" s="127" t="s">
        <v>92</v>
      </c>
      <c r="C96" s="289" t="s">
        <v>74</v>
      </c>
      <c r="D96" s="289"/>
      <c r="E96" s="116">
        <f>IF(D71=0,0,D71/$G$67)</f>
        <v>1.7576563032350948E-2</v>
      </c>
      <c r="F96" s="117" t="s">
        <v>71</v>
      </c>
      <c r="G96" s="160">
        <f>(E96-'2014'!E96)/'2014'!E96</f>
        <v>-6.1281202570004446E-2</v>
      </c>
    </row>
    <row r="97" spans="2:8" ht="15.75" thickBot="1" x14ac:dyDescent="0.3">
      <c r="B97" s="122"/>
      <c r="C97" s="96" t="s">
        <v>93</v>
      </c>
      <c r="D97" s="96"/>
      <c r="E97" s="96"/>
      <c r="F97" s="96"/>
      <c r="G97" s="142"/>
    </row>
    <row r="98" spans="2:8" ht="13.5" customHeight="1" thickTop="1" x14ac:dyDescent="0.2">
      <c r="B98" s="128" t="s">
        <v>110</v>
      </c>
      <c r="C98" s="289" t="s">
        <v>158</v>
      </c>
      <c r="D98" s="289"/>
      <c r="E98" s="116">
        <f>IF(D69=0,0,D69/$F$78)</f>
        <v>2.6923145542250331</v>
      </c>
      <c r="F98" s="117" t="s">
        <v>166</v>
      </c>
      <c r="G98" s="160">
        <f>(E98-'2014'!E98)/'2014'!E98</f>
        <v>-4.1933094874904236E-2</v>
      </c>
      <c r="H98" s="99"/>
    </row>
    <row r="99" spans="2:8" ht="28.5" customHeight="1" x14ac:dyDescent="0.2">
      <c r="B99" s="129" t="s">
        <v>111</v>
      </c>
      <c r="C99" s="289" t="s">
        <v>159</v>
      </c>
      <c r="D99" s="289"/>
      <c r="E99" s="116">
        <f>D69/$G$70</f>
        <v>0.21970211824026756</v>
      </c>
      <c r="F99" s="117" t="s">
        <v>86</v>
      </c>
      <c r="G99" s="141"/>
      <c r="H99" s="95"/>
    </row>
    <row r="100" spans="2:8" ht="15.75" thickBot="1" x14ac:dyDescent="0.3">
      <c r="B100" s="122"/>
      <c r="C100" s="96" t="s">
        <v>94</v>
      </c>
      <c r="D100" s="96"/>
      <c r="E100" s="96"/>
      <c r="F100" s="96"/>
      <c r="G100" s="142"/>
    </row>
    <row r="101" spans="2:8" ht="13.5" customHeight="1" thickTop="1" x14ac:dyDescent="0.2">
      <c r="B101" s="128" t="s">
        <v>112</v>
      </c>
      <c r="C101" s="289" t="s">
        <v>160</v>
      </c>
      <c r="D101" s="289"/>
      <c r="E101" s="116">
        <f>IF(D70=0,0,D70/$F$78)</f>
        <v>2.6988576726080313</v>
      </c>
      <c r="F101" s="117" t="s">
        <v>167</v>
      </c>
      <c r="G101" s="160">
        <f>(E101-'2014'!E101)/'2014'!E101</f>
        <v>-7.39494724408543E-2</v>
      </c>
    </row>
    <row r="102" spans="2:8" ht="26.25" customHeight="1" x14ac:dyDescent="0.2">
      <c r="B102" s="129" t="s">
        <v>113</v>
      </c>
      <c r="C102" s="289" t="s">
        <v>164</v>
      </c>
      <c r="D102" s="289"/>
      <c r="E102" s="116">
        <f>D70/$G$70</f>
        <v>0.22023605918204406</v>
      </c>
      <c r="F102" s="117" t="s">
        <v>77</v>
      </c>
      <c r="G102" s="141"/>
    </row>
    <row r="103" spans="2:8" ht="13.5" customHeight="1" thickBot="1" x14ac:dyDescent="0.3">
      <c r="B103" s="122"/>
      <c r="C103" s="96" t="s">
        <v>95</v>
      </c>
      <c r="D103" s="96"/>
      <c r="E103" s="96"/>
      <c r="F103" s="96"/>
      <c r="G103" s="142"/>
    </row>
    <row r="104" spans="2:8" ht="33.75" customHeight="1" thickTop="1" x14ac:dyDescent="0.2">
      <c r="B104" s="128" t="s">
        <v>114</v>
      </c>
      <c r="C104" s="289" t="s">
        <v>161</v>
      </c>
      <c r="D104" s="289"/>
      <c r="E104" s="116">
        <f>IF(D71=0,0,D71/$F$78)</f>
        <v>1.9245952255483501</v>
      </c>
      <c r="F104" s="117" t="s">
        <v>167</v>
      </c>
      <c r="G104" s="160">
        <f>(E104-'2014'!E104)/'2014'!E104</f>
        <v>-7.3949472440854452E-2</v>
      </c>
    </row>
    <row r="105" spans="2:8" ht="29.25" customHeight="1" x14ac:dyDescent="0.2">
      <c r="B105" s="129" t="s">
        <v>115</v>
      </c>
      <c r="C105" s="289" t="s">
        <v>162</v>
      </c>
      <c r="D105" s="289"/>
      <c r="E105" s="116">
        <f>D71/G70</f>
        <v>0.15705358318719537</v>
      </c>
      <c r="F105" s="117" t="s">
        <v>77</v>
      </c>
      <c r="G105" s="143"/>
    </row>
    <row r="106" spans="2:8" ht="15.75" thickBot="1" x14ac:dyDescent="0.3">
      <c r="B106" s="122"/>
      <c r="C106" s="96" t="s">
        <v>96</v>
      </c>
      <c r="D106" s="96"/>
      <c r="E106" s="96"/>
      <c r="F106" s="96"/>
      <c r="G106" s="142"/>
    </row>
    <row r="107" spans="2:8" ht="30" customHeight="1" thickTop="1" x14ac:dyDescent="0.2">
      <c r="B107" s="124" t="s">
        <v>96</v>
      </c>
      <c r="C107" s="277" t="s">
        <v>99</v>
      </c>
      <c r="D107" s="277"/>
      <c r="E107" s="113">
        <f>IF(C34=0,0,C34/G67)*1000</f>
        <v>476.07233514112022</v>
      </c>
      <c r="F107" s="114" t="s">
        <v>100</v>
      </c>
      <c r="G107" s="160">
        <f>(E107-'2014'!E107)/'2014'!E107</f>
        <v>4.8421024061231895E-2</v>
      </c>
    </row>
    <row r="108" spans="2:8" ht="15.75" thickBot="1" x14ac:dyDescent="0.3">
      <c r="B108" s="122"/>
      <c r="C108" s="96" t="s">
        <v>97</v>
      </c>
      <c r="D108" s="96"/>
      <c r="E108" s="96"/>
      <c r="F108" s="96"/>
      <c r="G108" s="142"/>
    </row>
    <row r="109" spans="2:8" ht="15.75" thickTop="1" x14ac:dyDescent="0.2">
      <c r="B109" s="125" t="s">
        <v>142</v>
      </c>
      <c r="C109" s="277" t="s">
        <v>155</v>
      </c>
      <c r="D109" s="277"/>
      <c r="E109" s="113">
        <f>C34/F78</f>
        <v>52.128879892037787</v>
      </c>
      <c r="F109" s="114" t="s">
        <v>170</v>
      </c>
      <c r="G109" s="160">
        <f>(E109-'2014'!E109)/'2014'!E109</f>
        <v>3.4272292292524341E-2</v>
      </c>
    </row>
    <row r="110" spans="2:8" ht="33" customHeight="1" x14ac:dyDescent="0.2">
      <c r="B110" s="126" t="s">
        <v>143</v>
      </c>
      <c r="C110" s="277" t="s">
        <v>163</v>
      </c>
      <c r="D110" s="277"/>
      <c r="E110" s="113">
        <f>C34/G70</f>
        <v>4.2538957105886244</v>
      </c>
      <c r="F110" s="114" t="s">
        <v>183</v>
      </c>
      <c r="G110" s="144"/>
    </row>
    <row r="111" spans="2:8" ht="18" customHeight="1" thickBot="1" x14ac:dyDescent="0.3">
      <c r="B111" s="122"/>
      <c r="C111" s="96" t="s">
        <v>98</v>
      </c>
      <c r="D111" s="96"/>
      <c r="E111" s="96"/>
      <c r="F111" s="96"/>
      <c r="G111" s="142"/>
    </row>
    <row r="112" spans="2:8" ht="22.5" customHeight="1" thickTop="1" x14ac:dyDescent="0.2">
      <c r="B112" s="130" t="s">
        <v>98</v>
      </c>
      <c r="C112" s="291" t="s">
        <v>132</v>
      </c>
      <c r="D112" s="291"/>
      <c r="E112" s="151">
        <f>J36/G67</f>
        <v>10.154625109377367</v>
      </c>
      <c r="F112" s="119" t="s">
        <v>171</v>
      </c>
      <c r="G112" s="160">
        <f>(E112-'2014'!E112)/'2014'!E112</f>
        <v>0.10921913871348331</v>
      </c>
    </row>
    <row r="113" spans="2:7" ht="15.75" thickBot="1" x14ac:dyDescent="0.3">
      <c r="B113" s="122"/>
      <c r="C113" s="96" t="s">
        <v>102</v>
      </c>
      <c r="D113" s="96"/>
      <c r="E113" s="96"/>
      <c r="F113" s="96"/>
      <c r="G113" s="142"/>
    </row>
    <row r="114" spans="2:7" ht="19.5" customHeight="1" thickTop="1" x14ac:dyDescent="0.2">
      <c r="B114" s="130" t="s">
        <v>102</v>
      </c>
      <c r="C114" s="291" t="s">
        <v>172</v>
      </c>
      <c r="D114" s="291"/>
      <c r="E114" s="151">
        <f>J37/G67</f>
        <v>0.98091250670121699</v>
      </c>
      <c r="F114" s="119" t="s">
        <v>83</v>
      </c>
      <c r="G114" s="160">
        <f>(E114-'2014'!E114)/'2014'!E114</f>
        <v>-6.9844624600078287E-2</v>
      </c>
    </row>
    <row r="115" spans="2:7" ht="12.75" customHeight="1" thickBot="1" x14ac:dyDescent="0.3">
      <c r="B115" s="122"/>
      <c r="C115" s="96" t="s">
        <v>103</v>
      </c>
      <c r="D115" s="96"/>
      <c r="E115" s="96"/>
      <c r="F115" s="96"/>
      <c r="G115" s="142"/>
    </row>
    <row r="116" spans="2:7" ht="30" customHeight="1" thickTop="1" x14ac:dyDescent="0.2">
      <c r="B116" s="131" t="s">
        <v>177</v>
      </c>
      <c r="C116" s="291" t="s">
        <v>173</v>
      </c>
      <c r="D116" s="291"/>
      <c r="E116" s="151">
        <f>J36/F78</f>
        <v>1111.9092490818459</v>
      </c>
      <c r="F116" s="119" t="s">
        <v>168</v>
      </c>
      <c r="G116" s="160">
        <f>(E116-'2014'!E116)/'2014'!E116</f>
        <v>9.4249919567552451E-2</v>
      </c>
    </row>
    <row r="117" spans="2:7" ht="27" customHeight="1" x14ac:dyDescent="0.2">
      <c r="B117" s="132" t="s">
        <v>178</v>
      </c>
      <c r="C117" s="291" t="s">
        <v>174</v>
      </c>
      <c r="D117" s="291"/>
      <c r="E117" s="151">
        <f>J36/G70</f>
        <v>90.735615172033235</v>
      </c>
      <c r="F117" s="119" t="s">
        <v>84</v>
      </c>
      <c r="G117" s="160">
        <f>(E117-'2014'!E117)/'2014'!E117</f>
        <v>3.2995060462592513E-2</v>
      </c>
    </row>
    <row r="118" spans="2:7" ht="15.75" thickBot="1" x14ac:dyDescent="0.3">
      <c r="B118" s="122"/>
      <c r="C118" s="96" t="s">
        <v>104</v>
      </c>
      <c r="D118" s="96"/>
      <c r="E118" s="96"/>
      <c r="F118" s="96"/>
      <c r="G118" s="160"/>
    </row>
    <row r="119" spans="2:7" ht="13.5" customHeight="1" thickTop="1" x14ac:dyDescent="0.2">
      <c r="B119" s="131" t="s">
        <v>144</v>
      </c>
      <c r="C119" s="291" t="s">
        <v>175</v>
      </c>
      <c r="D119" s="291"/>
      <c r="E119" s="151">
        <f>J37/F78</f>
        <v>107.40777497870789</v>
      </c>
      <c r="F119" s="119" t="s">
        <v>168</v>
      </c>
      <c r="G119" s="160">
        <f>(E119-'2014'!E119)/'2014'!E119</f>
        <v>-8.2397328721534727E-2</v>
      </c>
    </row>
    <row r="120" spans="2:7" ht="27" customHeight="1" x14ac:dyDescent="0.2">
      <c r="B120" s="132" t="s">
        <v>145</v>
      </c>
      <c r="C120" s="291" t="s">
        <v>176</v>
      </c>
      <c r="D120" s="291"/>
      <c r="E120" s="151">
        <f>J37/G70</f>
        <v>8.7648434843040075</v>
      </c>
      <c r="F120" s="119" t="s">
        <v>84</v>
      </c>
      <c r="G120" s="160">
        <f>(E120-'2014'!E120)/'2014'!E120</f>
        <v>-0.13376367688239238</v>
      </c>
    </row>
    <row r="121" spans="2:7" ht="15.75" thickBot="1" x14ac:dyDescent="0.3">
      <c r="B121" s="122"/>
      <c r="C121" s="96" t="s">
        <v>140</v>
      </c>
      <c r="D121" s="96"/>
      <c r="E121" s="96"/>
      <c r="F121" s="96"/>
      <c r="G121" s="142"/>
    </row>
    <row r="122" spans="2:7" ht="37.5" customHeight="1" thickTop="1" x14ac:dyDescent="0.2">
      <c r="B122" s="130" t="s">
        <v>140</v>
      </c>
      <c r="C122" s="290" t="s">
        <v>141</v>
      </c>
      <c r="D122" s="290"/>
      <c r="E122" s="133">
        <f>D72/C15</f>
        <v>1.2057534252242971E-2</v>
      </c>
      <c r="F122" s="134"/>
      <c r="G122" s="160">
        <f>(E122-'2014'!E122)/'2014'!E122</f>
        <v>-2.5797012405900637E-2</v>
      </c>
    </row>
    <row r="123" spans="2:7" x14ac:dyDescent="0.2">
      <c r="E123" s="58"/>
    </row>
    <row r="124" spans="2:7" x14ac:dyDescent="0.2">
      <c r="E124" s="58"/>
    </row>
    <row r="125" spans="2:7" x14ac:dyDescent="0.2">
      <c r="E125" s="58"/>
    </row>
    <row r="126" spans="2:7" x14ac:dyDescent="0.2">
      <c r="E126" s="58"/>
    </row>
  </sheetData>
  <mergeCells count="43">
    <mergeCell ref="C122:D122"/>
    <mergeCell ref="C112:D112"/>
    <mergeCell ref="C114:D114"/>
    <mergeCell ref="C116:D116"/>
    <mergeCell ref="C117:D117"/>
    <mergeCell ref="C119:D119"/>
    <mergeCell ref="C120:D120"/>
    <mergeCell ref="C110:D110"/>
    <mergeCell ref="C92:D92"/>
    <mergeCell ref="C94:D94"/>
    <mergeCell ref="C96:D96"/>
    <mergeCell ref="C98:D98"/>
    <mergeCell ref="C99:D99"/>
    <mergeCell ref="C101:D101"/>
    <mergeCell ref="C102:D102"/>
    <mergeCell ref="C104:D104"/>
    <mergeCell ref="C105:D105"/>
    <mergeCell ref="C107:D107"/>
    <mergeCell ref="C109:D109"/>
    <mergeCell ref="C90:D90"/>
    <mergeCell ref="E60:F60"/>
    <mergeCell ref="B61:B63"/>
    <mergeCell ref="C61:C63"/>
    <mergeCell ref="D61:D63"/>
    <mergeCell ref="B74:C74"/>
    <mergeCell ref="E74:F74"/>
    <mergeCell ref="C85:D85"/>
    <mergeCell ref="C87:D87"/>
    <mergeCell ref="C89:D89"/>
    <mergeCell ref="P67:R67"/>
    <mergeCell ref="B72:C72"/>
    <mergeCell ref="C29:F29"/>
    <mergeCell ref="E31:F31"/>
    <mergeCell ref="E43:F43"/>
    <mergeCell ref="C46:D46"/>
    <mergeCell ref="E48:F48"/>
    <mergeCell ref="H48:I48"/>
    <mergeCell ref="H20:I20"/>
    <mergeCell ref="A9:C9"/>
    <mergeCell ref="C12:F12"/>
    <mergeCell ref="E14:F14"/>
    <mergeCell ref="C18:F18"/>
    <mergeCell ref="E20:F20"/>
  </mergeCells>
  <conditionalFormatting sqref="D75:D79">
    <cfRule type="cellIs" dxfId="41" priority="21" operator="lessThan">
      <formula>0</formula>
    </cfRule>
  </conditionalFormatting>
  <conditionalFormatting sqref="G85">
    <cfRule type="cellIs" dxfId="40" priority="20" operator="lessThan">
      <formula>0</formula>
    </cfRule>
  </conditionalFormatting>
  <conditionalFormatting sqref="G87">
    <cfRule type="cellIs" dxfId="39" priority="19" operator="lessThan">
      <formula>0</formula>
    </cfRule>
  </conditionalFormatting>
  <conditionalFormatting sqref="G89">
    <cfRule type="cellIs" dxfId="38" priority="18" operator="lessThan">
      <formula>0</formula>
    </cfRule>
  </conditionalFormatting>
  <conditionalFormatting sqref="G92">
    <cfRule type="cellIs" dxfId="37" priority="17" operator="lessThan">
      <formula>0</formula>
    </cfRule>
  </conditionalFormatting>
  <conditionalFormatting sqref="G94">
    <cfRule type="cellIs" dxfId="36" priority="16" operator="lessThan">
      <formula>0</formula>
    </cfRule>
  </conditionalFormatting>
  <conditionalFormatting sqref="G96">
    <cfRule type="cellIs" dxfId="35" priority="15" operator="lessThan">
      <formula>0</formula>
    </cfRule>
  </conditionalFormatting>
  <conditionalFormatting sqref="G98">
    <cfRule type="cellIs" dxfId="34" priority="14" operator="lessThan">
      <formula>0</formula>
    </cfRule>
  </conditionalFormatting>
  <conditionalFormatting sqref="G101">
    <cfRule type="cellIs" dxfId="33" priority="13" operator="lessThan">
      <formula>0</formula>
    </cfRule>
  </conditionalFormatting>
  <conditionalFormatting sqref="G104">
    <cfRule type="cellIs" dxfId="32" priority="12" operator="lessThan">
      <formula>0</formula>
    </cfRule>
  </conditionalFormatting>
  <conditionalFormatting sqref="G107">
    <cfRule type="cellIs" dxfId="31" priority="11" operator="lessThan">
      <formula>0</formula>
    </cfRule>
  </conditionalFormatting>
  <conditionalFormatting sqref="G109">
    <cfRule type="cellIs" dxfId="30" priority="10" operator="lessThan">
      <formula>0</formula>
    </cfRule>
  </conditionalFormatting>
  <conditionalFormatting sqref="G112">
    <cfRule type="cellIs" dxfId="29" priority="9" operator="lessThan">
      <formula>0</formula>
    </cfRule>
  </conditionalFormatting>
  <conditionalFormatting sqref="G114">
    <cfRule type="cellIs" dxfId="28" priority="8" operator="lessThan">
      <formula>0</formula>
    </cfRule>
  </conditionalFormatting>
  <conditionalFormatting sqref="G116">
    <cfRule type="cellIs" dxfId="27" priority="7" operator="lessThan">
      <formula>0</formula>
    </cfRule>
  </conditionalFormatting>
  <conditionalFormatting sqref="G118">
    <cfRule type="cellIs" dxfId="26" priority="6" operator="lessThan">
      <formula>0</formula>
    </cfRule>
  </conditionalFormatting>
  <conditionalFormatting sqref="G117">
    <cfRule type="cellIs" dxfId="25" priority="5" operator="lessThan">
      <formula>0</formula>
    </cfRule>
  </conditionalFormatting>
  <conditionalFormatting sqref="G119">
    <cfRule type="cellIs" dxfId="24" priority="4" operator="lessThan">
      <formula>0</formula>
    </cfRule>
  </conditionalFormatting>
  <conditionalFormatting sqref="G120">
    <cfRule type="cellIs" dxfId="23" priority="3" operator="lessThan">
      <formula>0</formula>
    </cfRule>
  </conditionalFormatting>
  <conditionalFormatting sqref="G122">
    <cfRule type="cellIs" dxfId="22" priority="2" operator="lessThan">
      <formula>0</formula>
    </cfRule>
  </conditionalFormatting>
  <conditionalFormatting sqref="G75:G78">
    <cfRule type="cellIs" dxfId="21" priority="1" operator="lessThan">
      <formula>0</formula>
    </cfRule>
  </conditionalFormatting>
  <hyperlinks>
    <hyperlink ref="B3" r:id="rId1"/>
  </hyperlinks>
  <pageMargins left="0.70866141732283472" right="0.21" top="0.41" bottom="0.74803149606299213" header="0.31496062992125984" footer="0.31496062992125984"/>
  <pageSetup paperSize="9" scale="7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8b15</vt:lpstr>
      <vt:lpstr>Tendencias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UJA</cp:lastModifiedBy>
  <cp:lastPrinted>2017-03-02T12:35:38Z</cp:lastPrinted>
  <dcterms:created xsi:type="dcterms:W3CDTF">2012-09-07T15:23:59Z</dcterms:created>
  <dcterms:modified xsi:type="dcterms:W3CDTF">2020-01-14T11:50:09Z</dcterms:modified>
</cp:coreProperties>
</file>